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vcsZqmpMWtsV829rXNxwbShgKLrHb2Ps//2iLtRqLFcn46e9bJYGqNM+Q08qLe36hvsPxyQPiZSQIgwfzuiQeA==" workbookSaltValue="uc6HO53PP/Y6SG4PbVrK7w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C270" i="82"/>
  <c r="AB270" i="82"/>
  <c r="A270" i="82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I39" i="83" l="1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W38" i="83" s="1"/>
  <c r="AD336" i="83"/>
  <c r="W336" i="83"/>
  <c r="V336" i="83"/>
  <c r="O336" i="83"/>
  <c r="N336" i="83"/>
  <c r="AM308" i="83"/>
  <c r="AL308" i="83"/>
  <c r="AE308" i="83"/>
  <c r="W37" i="83" s="1"/>
  <c r="AD308" i="83"/>
  <c r="W308" i="83"/>
  <c r="V308" i="83"/>
  <c r="O308" i="83"/>
  <c r="N308" i="83"/>
  <c r="AM280" i="83"/>
  <c r="AL280" i="83"/>
  <c r="AE280" i="83"/>
  <c r="W36" i="83" s="1"/>
  <c r="AD280" i="83"/>
  <c r="W280" i="83"/>
  <c r="V280" i="83"/>
  <c r="O280" i="83"/>
  <c r="N280" i="83"/>
  <c r="AM252" i="83"/>
  <c r="AL252" i="83"/>
  <c r="AE252" i="83"/>
  <c r="W35" i="83" s="1"/>
  <c r="AD252" i="83"/>
  <c r="W252" i="83"/>
  <c r="V252" i="83"/>
  <c r="O252" i="83"/>
  <c r="N252" i="83"/>
  <c r="AM224" i="83"/>
  <c r="AL224" i="83"/>
  <c r="AE224" i="83"/>
  <c r="W34" i="83" s="1"/>
  <c r="AD224" i="83"/>
  <c r="W224" i="83"/>
  <c r="V224" i="83"/>
  <c r="O224" i="83"/>
  <c r="I34" i="83" s="1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W32" i="83" s="1"/>
  <c r="AD168" i="83"/>
  <c r="W168" i="83"/>
  <c r="V168" i="83"/>
  <c r="O168" i="83"/>
  <c r="I32" i="83" s="1"/>
  <c r="N168" i="83"/>
  <c r="AM140" i="83"/>
  <c r="AL140" i="83"/>
  <c r="AE140" i="83"/>
  <c r="W31" i="83" s="1"/>
  <c r="AD140" i="83"/>
  <c r="W140" i="83"/>
  <c r="V140" i="83"/>
  <c r="O140" i="83"/>
  <c r="N140" i="83"/>
  <c r="AM112" i="83"/>
  <c r="AL112" i="83"/>
  <c r="AE112" i="83"/>
  <c r="W30" i="83" s="1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6" i="83"/>
  <c r="I37" i="83"/>
  <c r="I38" i="83"/>
  <c r="I31" i="83"/>
  <c r="I33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G53" i="83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R307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Z77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Z133" i="83"/>
  <c r="AA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AC245" i="83" l="1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G190" i="83" s="1"/>
  <c r="AC132" i="83"/>
  <c r="AH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334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245" i="83"/>
  <c r="AH245" i="83"/>
  <c r="AG245" i="83"/>
  <c r="AI245" i="83"/>
  <c r="AK328" i="83"/>
  <c r="AG328" i="83"/>
  <c r="AI328" i="83"/>
  <c r="AH328" i="83"/>
  <c r="AH243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90" i="83"/>
  <c r="AI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H302" i="83"/>
  <c r="AG302" i="83"/>
  <c r="AK299" i="83"/>
  <c r="AH299" i="83"/>
  <c r="AI299" i="83"/>
  <c r="AG299" i="83"/>
  <c r="AK326" i="83"/>
  <c r="AG326" i="83"/>
  <c r="AI326" i="83"/>
  <c r="AH326" i="83"/>
  <c r="AI247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132" i="83" l="1"/>
  <c r="Y138" i="83"/>
  <c r="AC136" i="83"/>
  <c r="AH190" i="83"/>
  <c r="AH158" i="83"/>
  <c r="AH161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Y112" i="83" l="1"/>
  <c r="L41" i="83"/>
  <c r="AO302" i="83"/>
  <c r="S226" i="83"/>
  <c r="O34" i="83" s="1"/>
  <c r="AP302" i="83"/>
  <c r="L43" i="83"/>
  <c r="AP272" i="83"/>
  <c r="AO107" i="83"/>
  <c r="AQ107" i="83"/>
  <c r="AK222" i="83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O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G308" i="83" s="1"/>
  <c r="AO188" i="83"/>
  <c r="AB80" i="83"/>
  <c r="AB84" i="83" s="1"/>
  <c r="AK276" i="83"/>
  <c r="AG276" i="83"/>
  <c r="AG280" i="83" s="1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S39" i="83" l="1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/>
  <c r="AJ33" i="83" s="1"/>
  <c r="AQ310" i="83" l="1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<sst xmlns="http://schemas.openxmlformats.org/spreadsheetml/2006/main" count="65885" uniqueCount="755">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</sst>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5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0.9727819035628501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2.5047916698699543E-2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1.0787717017114744E-5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5.9936460584675256E-4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1.5600274155866437E-3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7.6000000000000012E-2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7.0000000000000034E-2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6.7000000000000018E-2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1.4999838184244746E-2</v>
      </c>
      <c r="AB3">
        <f>SUMIFS(PERSALDATA!$G$2:$G$20871,PERSALDATA!$A$2:$A$20871,WORKING!A3,PERSALDATA!$D$2:$D$20871,WORKING!B3,PERSALDATA!$E$2:$E$20871,WORKING!C3,PERSALDATA!$F$2:$F$20871,"S&amp;W: BASIC SALARY (RES)")</f>
        <v>332</v>
      </c>
      <c r="AC3" s="2">
        <f>SUMIFS(PERSALDATA!$H$2:$H$20871,PERSALDATA!$A$2:$A$20871,WORKING!A3,PERSALDATA!$D$2:$D$20871,WORKING!B3,PERSALDATA!$E$2:$E$20871,WORKING!C3)</f>
        <v>11349018.499999996</v>
      </c>
    </row>
    <row r="4" spans="1:29" x14ac:dyDescent="0.25">
      <c r="A4" s="2">
        <f>Results!$D$3</f>
        <v>5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5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0.67674783245264536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5.8157311881981193E-2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8.6121531459914163E-2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2.4133954218738055E-2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5.8819323981172955E-2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8.6426587974041943E-2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2.9624789137939161E-3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4.8864958357349038E-4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4.8869029094434288E-3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1.2554266246954827E-3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7.0278234144782931E-2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7.0021074545118467E-2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6.9021074545118466E-2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6.7021074545118464E-2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1.2818557424630091E-2</v>
      </c>
      <c r="AB5" s="2">
        <f>SUMIFS(PERSALDATA!$G$2:$G$20871,PERSALDATA!$A$2:$A$20871,WORKING!A5,PERSALDATA!$D$2:$D$20871,WORKING!B5,PERSALDATA!$E$2:$E$20871,WORKING!C5,PERSALDATA!$F$2:$F$20871,"S&amp;W: BASIC SALARY (RES)")</f>
        <v>48</v>
      </c>
      <c r="AC5" s="2">
        <f>SUMIFS(PERSALDATA!$H$2:$H$20871,PERSALDATA!$A$2:$A$20871,WORKING!A5,PERSALDATA!$D$2:$D$20871,WORKING!B5,PERSALDATA!$E$2:$E$20871,WORKING!C5)</f>
        <v>7074885.7999999998</v>
      </c>
    </row>
    <row r="6" spans="1:29" x14ac:dyDescent="0.25">
      <c r="A6" s="2">
        <f>Results!$D$3</f>
        <v>5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5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0.70234666800305268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5.6360859872039752E-2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5.5297794287238473E-2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2.9643015994481006E-2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4.3506074227896603E-2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8.8898000829778168E-2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3.349211194084344E-3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3.4320902181213112E-4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1.3026246700174163E-2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7.2289198694428019E-3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7.2406452673360461E-2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7.0099613170546082E-2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6.9099613170546068E-2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6.7099613170546066E-2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1.3512793836945793E-2</v>
      </c>
      <c r="AB7" s="2">
        <f>SUMIFS(PERSALDATA!$G$2:$G$20871,PERSALDATA!$A$2:$A$20871,WORKING!A7,PERSALDATA!$D$2:$D$20871,WORKING!B7,PERSALDATA!$E$2:$E$20871,WORKING!C7,PERSALDATA!$F$2:$F$20871,"S&amp;W: BASIC SALARY (RES)")</f>
        <v>36</v>
      </c>
      <c r="AC7" s="2">
        <f>SUMIFS(PERSALDATA!$H$2:$H$20871,PERSALDATA!$A$2:$A$20871,WORKING!A7,PERSALDATA!$D$2:$D$20871,WORKING!B7,PERSALDATA!$E$2:$E$20871,WORKING!C7)</f>
        <v>7389083.1499999985</v>
      </c>
    </row>
    <row r="8" spans="1:29" x14ac:dyDescent="0.25">
      <c r="A8" s="2">
        <f>Results!$D$3</f>
        <v>5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0.69946834415363157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5.7581667308647458E-2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5.0601069885153373E-2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3.9628597313510913E-2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5.2677322478700536E-2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9.0263802770694582E-2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4.5263664108989056E-3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2.8615171773464006E-4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1.8613445557157107E-4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2.1450047145250726E-3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2.635538790931279E-3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7.2891801203430126E-2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7.0284149138328963E-2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6.9284149138328976E-2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6.7284149138328961E-2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1.3446531838776173E-2</v>
      </c>
      <c r="AB8" s="2">
        <f>SUMIFS(PERSALDATA!$G$2:$G$20871,PERSALDATA!$A$2:$A$20871,WORKING!A8,PERSALDATA!$D$2:$D$20871,WORKING!B8,PERSALDATA!$E$2:$E$20871,WORKING!C8,PERSALDATA!$F$2:$F$20871,"S&amp;W: BASIC SALARY (RES)")</f>
        <v>243</v>
      </c>
      <c r="AC8" s="2">
        <f>SUMIFS(PERSALDATA!$H$2:$H$20871,PERSALDATA!$A$2:$A$20871,WORKING!A8,PERSALDATA!$D$2:$D$20871,WORKING!B8,PERSALDATA!$E$2:$E$20871,WORKING!C8)</f>
        <v>60917684.290000007</v>
      </c>
    </row>
    <row r="9" spans="1:29" x14ac:dyDescent="0.25">
      <c r="A9" s="2">
        <f>Results!$D$3</f>
        <v>5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0.70304796230954569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5.7013248651219935E-2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3.9556195906732067E-2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4.5165586845260841E-2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5.0374201771451861E-2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8.8657221849629639E-2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5.6707185432526633E-3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2.377284983317602E-4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9.4970269554931468E-3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2.1813166797479976E-4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5.6197700110775892E-4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7.3698967935888718E-2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7.0360051067504495E-2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6.9360051067504466E-2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6.7360051067504464E-2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1.3647478107352265E-2</v>
      </c>
      <c r="AB9" s="2">
        <f>SUMIFS(PERSALDATA!$G$2:$G$20871,PERSALDATA!$A$2:$A$20871,WORKING!A9,PERSALDATA!$D$2:$D$20871,WORKING!B9,PERSALDATA!$E$2:$E$20871,WORKING!C9,PERSALDATA!$F$2:$F$20871,"S&amp;W: BASIC SALARY (RES)")</f>
        <v>109</v>
      </c>
      <c r="AC9" s="2">
        <f>SUMIFS(PERSALDATA!$H$2:$H$20871,PERSALDATA!$A$2:$A$20871,WORKING!A9,PERSALDATA!$D$2:$D$20871,WORKING!B9,PERSALDATA!$E$2:$E$20871,WORKING!C9)</f>
        <v>31610724.219999995</v>
      </c>
    </row>
    <row r="10" spans="1:29" x14ac:dyDescent="0.25">
      <c r="A10" s="2">
        <f>Results!$D$3</f>
        <v>5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0.73733843190647363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5.4424373734027032E-2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3.4154126685654929E-2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2.2361765801374386E-2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4.4717654208967034E-2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9.2945715843728835E-2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4.8514953777949541E-3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2.0032373438216185E-4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8.3332501937823811E-3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1.1117485878634354E-6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6.7175076522682606E-4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7.4030333530815756E-2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7.032922354627795E-2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6.9329223546277963E-2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6.7329223546277961E-2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1.3813918430564941E-2</v>
      </c>
      <c r="AB10" s="2">
        <f>SUMIFS(PERSALDATA!$G$2:$G$20871,PERSALDATA!$A$2:$A$20871,WORKING!A10,PERSALDATA!$D$2:$D$20871,WORKING!B10,PERSALDATA!$E$2:$E$20871,WORKING!C10,PERSALDATA!$F$2:$F$20871,"S&amp;W: BASIC SALARY (RES)")</f>
        <v>136</v>
      </c>
      <c r="AC10" s="2">
        <f>SUMIFS(PERSALDATA!$H$2:$H$20871,PERSALDATA!$A$2:$A$20871,WORKING!A10,PERSALDATA!$D$2:$D$20871,WORKING!B10,PERSALDATA!$E$2:$E$20871,WORKING!C10)</f>
        <v>39667241.749999993</v>
      </c>
    </row>
    <row r="11" spans="1:29" x14ac:dyDescent="0.25">
      <c r="A11" s="2">
        <f>Results!$D$3</f>
        <v>5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0.7521094946603778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5.1731971335077495E-2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1.3491242596349958E-2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3.1661301031947787E-3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2.8399065665316661E-2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7.2862153890107223E-2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7.1636910981606938E-3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1.7350134780158878E-4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7.0902749303613816E-2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0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7.5372252481991836E-2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7.0291073559016259E-2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6.9291073559016245E-2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6.7291073559016257E-2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1.4369042855857979E-2</v>
      </c>
      <c r="AB11" s="2">
        <f>SUMIFS(PERSALDATA!$G$2:$G$20871,PERSALDATA!$A$2:$A$20871,WORKING!A11,PERSALDATA!$D$2:$D$20871,WORKING!B11,PERSALDATA!$E$2:$E$20871,WORKING!C11,PERSALDATA!$F$2:$F$20871,"S&amp;W: BASIC SALARY (RES)")</f>
        <v>5</v>
      </c>
      <c r="AC11" s="2">
        <f>SUMIFS(PERSALDATA!$H$2:$H$20871,PERSALDATA!$A$2:$A$20871,WORKING!A11,PERSALDATA!$D$2:$D$20871,WORKING!B11,PERSALDATA!$E$2:$E$20871,WORKING!C11)</f>
        <v>1512092</v>
      </c>
    </row>
    <row r="12" spans="1:29" x14ac:dyDescent="0.25">
      <c r="A12" s="2">
        <f>Results!$D$3</f>
        <v>5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0.75018290067005011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6.2935936069203668E-2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2.299773013001143E-2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1.7785765938793909E-2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3.3424778302338483E-2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9.6730943029519512E-2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8.3086586399810647E-3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1.3975207078936267E-4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2.386229083202416E-3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4.9512111257044526E-3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1.5609494040559493E-4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7.4720119406351843E-2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7.0271394373234958E-2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6.9271394373234971E-2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6.7271394373234955E-2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1.4151566092452911E-2</v>
      </c>
      <c r="AB12" s="2">
        <f>SUMIFS(PERSALDATA!$G$2:$G$20871,PERSALDATA!$A$2:$A$20871,WORKING!A12,PERSALDATA!$D$2:$D$20871,WORKING!B12,PERSALDATA!$E$2:$E$20871,WORKING!C12,PERSALDATA!$F$2:$F$20871,"S&amp;W: BASIC SALARY (RES)")</f>
        <v>113</v>
      </c>
      <c r="AC12" s="2">
        <f>SUMIFS(PERSALDATA!$H$2:$H$20871,PERSALDATA!$A$2:$A$20871,WORKING!A12,PERSALDATA!$D$2:$D$20871,WORKING!B12,PERSALDATA!$E$2:$E$20871,WORKING!C12)</f>
        <v>56901267.759999998</v>
      </c>
    </row>
    <row r="13" spans="1:29" x14ac:dyDescent="0.25">
      <c r="A13" s="2">
        <f>Results!$D$3</f>
        <v>5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0.72387375399010689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5.9470944043402661E-2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1.3397286260684343E-2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1.2184920678328774E-3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1.5426903012763471E-2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9.175057938591713E-2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7.9305436513982704E-3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1.1529974063340036E-4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7.9491789250406675E-2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6.9458400424543734E-3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3.7856855439985732E-4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1.4565907664788781E-2</v>
      </c>
      <c r="AB13" s="2">
        <f>SUMIFS(PERSALDATA!$G$2:$G$20871,PERSALDATA!$A$2:$A$20871,WORKING!A13,PERSALDATA!$D$2:$D$20871,WORKING!B13,PERSALDATA!$E$2:$E$20871,WORKING!C13,PERSALDATA!$F$2:$F$20871,"S&amp;W: BASIC SALARY (RES)")</f>
        <v>37</v>
      </c>
      <c r="AC13" s="2">
        <f>SUMIFS(PERSALDATA!$H$2:$H$20871,PERSALDATA!$A$2:$A$20871,WORKING!A13,PERSALDATA!$D$2:$D$20871,WORKING!B13,PERSALDATA!$E$2:$E$20871,WORKING!C13)</f>
        <v>23462064.919999991</v>
      </c>
    </row>
    <row r="14" spans="1:29" x14ac:dyDescent="0.25">
      <c r="A14" s="2">
        <f>Results!$D$3</f>
        <v>5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0.71531427313128249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4.9379254226049739E-2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7.9635307946406293E-3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5.7364719960077961E-3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9.3769726357905911E-3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9.114611246842988E-2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9.3998051603292696E-3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9.6304179092696881E-5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0.10051256061677562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1.0944063344340449E-2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1.3065144726070056E-4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1.4738447885857139E-2</v>
      </c>
      <c r="AB14" s="2">
        <f>SUMIFS(PERSALDATA!$G$2:$G$20871,PERSALDATA!$A$2:$A$20871,WORKING!A14,PERSALDATA!$D$2:$D$20871,WORKING!B14,PERSALDATA!$E$2:$E$20871,WORKING!C14,PERSALDATA!$F$2:$F$20871,"S&amp;W: BASIC SALARY (RES)")</f>
        <v>91</v>
      </c>
      <c r="AC14" s="2">
        <f>SUMIFS(PERSALDATA!$H$2:$H$20871,PERSALDATA!$A$2:$A$20871,WORKING!A14,PERSALDATA!$D$2:$D$20871,WORKING!B14,PERSALDATA!$E$2:$E$20871,WORKING!C14)</f>
        <v>67982408.049999997</v>
      </c>
    </row>
    <row r="15" spans="1:29" x14ac:dyDescent="0.25">
      <c r="A15" s="2">
        <f>Results!$D$3</f>
        <v>5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0.6334850567141177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4.6441287345804078E-2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1.8599330384989447E-2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9.4151759760276853E-3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7.8121302882108223E-2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1.1023061316187311E-3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7.5696439981653258E-5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0.20143399304287374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1.101166102283916E-2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3.1419005963963248E-4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1.4578646957985018E-2</v>
      </c>
      <c r="AB15" s="2">
        <f>SUMIFS(PERSALDATA!$G$2:$G$20871,PERSALDATA!$A$2:$A$20871,WORKING!A15,PERSALDATA!$D$2:$D$20871,WORKING!B15,PERSALDATA!$E$2:$E$20871,WORKING!C15,PERSALDATA!$F$2:$F$20871,"S&amp;W: BASIC SALARY (RES)")</f>
        <v>60</v>
      </c>
      <c r="AC15" s="2">
        <f>SUMIFS(PERSALDATA!$H$2:$H$20871,PERSALDATA!$A$2:$A$20871,WORKING!A15,PERSALDATA!$D$2:$D$20871,WORKING!B15,PERSALDATA!$E$2:$E$20871,WORKING!C15)</f>
        <v>54912622.06000001</v>
      </c>
    </row>
    <row r="16" spans="1:29" x14ac:dyDescent="0.25">
      <c r="A16" s="2">
        <f>Results!$D$3</f>
        <v>5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0.60452381393960297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4.5275003617758186E-2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2.8824759086725367E-3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1.1081379091773745E-2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7.8100266540780353E-2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2.1606525019625851E-3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6.0953335319408373E-5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0.23157694771163301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2.4338507352497117E-2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1.4789627874963513E-2</v>
      </c>
      <c r="AB16" s="2">
        <f>SUMIFS(PERSALDATA!$G$2:$G$20871,PERSALDATA!$A$2:$A$20871,WORKING!A16,PERSALDATA!$D$2:$D$20871,WORKING!B16,PERSALDATA!$E$2:$E$20871,WORKING!C16,PERSALDATA!$F$2:$F$20871,"S&amp;W: BASIC SALARY (RES)")</f>
        <v>17</v>
      </c>
      <c r="AC16" s="2">
        <f>SUMIFS(PERSALDATA!$H$2:$H$20871,PERSALDATA!$A$2:$A$20871,WORKING!A16,PERSALDATA!$D$2:$D$20871,WORKING!B16,PERSALDATA!$E$2:$E$20871,WORKING!C16)</f>
        <v>19129387.98</v>
      </c>
    </row>
    <row r="17" spans="1:29" x14ac:dyDescent="0.25">
      <c r="A17" s="2">
        <f>Results!$D$3</f>
        <v>5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0.65023753430748121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3.8436490581056762E-2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7.4794003211332066E-3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7.2306698160121419E-2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5.3738437870677135E-5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0.23148613819233679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1.4887002918614941E-2</v>
      </c>
      <c r="AB17" s="2">
        <f>SUMIFS(PERSALDATA!$G$2:$G$20871,PERSALDATA!$A$2:$A$20871,WORKING!A17,PERSALDATA!$D$2:$D$20871,WORKING!B17,PERSALDATA!$E$2:$E$20871,WORKING!C17,PERSALDATA!$F$2:$F$20871,"S&amp;W: BASIC SALARY (RES)")</f>
        <v>8</v>
      </c>
      <c r="AC17" s="2">
        <f>SUMIFS(PERSALDATA!$H$2:$H$20871,PERSALDATA!$A$2:$A$20871,WORKING!A17,PERSALDATA!$D$2:$D$20871,WORKING!B17,PERSALDATA!$E$2:$E$20871,WORKING!C17)</f>
        <v>10631868.41</v>
      </c>
    </row>
    <row r="18" spans="1:29" x14ac:dyDescent="0.25">
      <c r="A18" s="2">
        <f>Results!$D$3</f>
        <v>5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0.57821922313633989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1.4590044682331122E-2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1.6870922689537018E-2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0.11346658735180494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1.1116351636528118E-5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0.26973189120418384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7.1102145841664896E-3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1.4746769414382395E-2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6293431.7200000007</v>
      </c>
    </row>
    <row r="19" spans="1:29" x14ac:dyDescent="0.25">
      <c r="A19" s="2">
        <f>Results!$D$3</f>
        <v>5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5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1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71</v>
      </c>
      <c r="AC20" s="2">
        <f>SUMIFS(PERSALDATA!$H$2:$H$20871,PERSALDATA!$A$2:$A$20871,WORKING!A20,PERSALDATA!$D$2:$D$20871,WORKING!B20,PERSALDATA!$E$2:$E$20871,WORKING!C20)</f>
        <v>974095.88</v>
      </c>
    </row>
    <row r="21" spans="1:29" x14ac:dyDescent="0.25">
      <c r="A21" s="2">
        <f>Results!$D$3</f>
        <v>5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5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0.68422263124051896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5.6602475474856549E-2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7.9488492893389093E-2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2.6921436012671634E-3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7.9668039070194638E-2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8.9063812780745155E-2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3.837338553905487E-3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4.8058444109275319E-4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3.025428580480302E-3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9.1905336354996343E-4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7.1074227087085162E-2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7.0400135657119042E-2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6.9400135657119028E-2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6.7400135657119054E-2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1.2605443253929852E-2</v>
      </c>
      <c r="AB22" s="2">
        <f>SUMIFS(PERSALDATA!$G$2:$G$20871,PERSALDATA!$A$2:$A$20871,WORKING!A22,PERSALDATA!$D$2:$D$20871,WORKING!B22,PERSALDATA!$E$2:$E$20871,WORKING!C22,PERSALDATA!$F$2:$F$20871,"S&amp;W: BASIC SALARY (RES)")</f>
        <v>395</v>
      </c>
      <c r="AC22" s="2">
        <f>SUMIFS(PERSALDATA!$H$2:$H$20871,PERSALDATA!$A$2:$A$20871,WORKING!A22,PERSALDATA!$D$2:$D$20871,WORKING!B22,PERSALDATA!$E$2:$E$20871,WORKING!C22)</f>
        <v>57985751.549999997</v>
      </c>
    </row>
    <row r="23" spans="1:29" x14ac:dyDescent="0.25">
      <c r="A23" s="2">
        <f>Results!$D$3</f>
        <v>5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0.69793808124146506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5.7420757318385363E-2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7.524071175706902E-2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6.7816961530371547E-2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0.10116108122351873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4.2240692919024152E-4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7.1231143367887953E-2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7.0264847305384903E-2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6.9264847305384888E-2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6.7264847305384887E-2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1.2847798796750536E-2</v>
      </c>
      <c r="AB23" s="2">
        <f>SUMIFS(PERSALDATA!$G$2:$G$20871,PERSALDATA!$A$2:$A$20871,WORKING!A23,PERSALDATA!$D$2:$D$20871,WORKING!B23,PERSALDATA!$E$2:$E$20871,WORKING!C23,PERSALDATA!$F$2:$F$20871,"S&amp;W: BASIC SALARY (RES)")</f>
        <v>1</v>
      </c>
      <c r="AC23" s="2">
        <f>SUMIFS(PERSALDATA!$H$2:$H$20871,PERSALDATA!$A$2:$A$20871,WORKING!A23,PERSALDATA!$D$2:$D$20871,WORKING!B23,PERSALDATA!$E$2:$E$20871,WORKING!C23)</f>
        <v>179424.14</v>
      </c>
    </row>
    <row r="24" spans="1:29" x14ac:dyDescent="0.25">
      <c r="A24" s="2">
        <f>Results!$D$3</f>
        <v>5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0.71285507532485526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5.7391907559896274E-2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5.6685447296539376E-2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5.9452615105901278E-3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6.6072011176133719E-2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9.2902115456143075E-2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3.0632892046506344E-3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3.5263777316559724E-4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6.1475467106044215E-4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3.5707738429195507E-3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5.4672618404589288E-4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7.2616914161928892E-2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7.0424225694676615E-2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6.94242256946766E-2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6.7424225694676598E-2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1.3153348556312418E-2</v>
      </c>
      <c r="AB24" s="2">
        <f>SUMIFS(PERSALDATA!$G$2:$G$20871,PERSALDATA!$A$2:$A$20871,WORKING!A24,PERSALDATA!$D$2:$D$20871,WORKING!B24,PERSALDATA!$E$2:$E$20871,WORKING!C24,PERSALDATA!$F$2:$F$20871,"S&amp;W: BASIC SALARY (RES)")</f>
        <v>234</v>
      </c>
      <c r="AC24" s="2">
        <f>SUMIFS(PERSALDATA!$H$2:$H$20871,PERSALDATA!$A$2:$A$20871,WORKING!A24,PERSALDATA!$D$2:$D$20871,WORKING!B24,PERSALDATA!$E$2:$E$20871,WORKING!C24)</f>
        <v>48737376.730000004</v>
      </c>
    </row>
    <row r="25" spans="1:29" x14ac:dyDescent="0.25">
      <c r="A25" s="2">
        <f>Results!$D$3</f>
        <v>5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0.71367575375575121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5.8642008675468149E-2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5.0086439554023331E-2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1.1694642326008517E-2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5.9281751058955376E-2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9.2931052503078093E-2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3.3973685346211082E-3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2.9504777630628802E-4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7.4927836264385427E-5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9.238962983337231E-3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9.6532856337222029E-5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5.6229171126748342E-4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2.3220428581589744E-5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7.3023375108719618E-2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7.0388361870344113E-2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6.9388361870344098E-2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6.7388361870344096E-2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1.3355051424160724E-2</v>
      </c>
      <c r="AB25" s="2">
        <f>SUMIFS(PERSALDATA!$G$2:$G$20871,PERSALDATA!$A$2:$A$20871,WORKING!A25,PERSALDATA!$D$2:$D$20871,WORKING!B25,PERSALDATA!$E$2:$E$20871,WORKING!C25,PERSALDATA!$F$2:$F$20871,"S&amp;W: BASIC SALARY (RES)")</f>
        <v>4723</v>
      </c>
      <c r="AC25" s="2">
        <f>SUMIFS(PERSALDATA!$H$2:$H$20871,PERSALDATA!$A$2:$A$20871,WORKING!A25,PERSALDATA!$D$2:$D$20871,WORKING!B25,PERSALDATA!$E$2:$E$20871,WORKING!C25)</f>
        <v>1128674258.01</v>
      </c>
    </row>
    <row r="26" spans="1:29" x14ac:dyDescent="0.25">
      <c r="A26" s="2">
        <f>Results!$D$3</f>
        <v>5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0.73000109991799911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6.1912590489956766E-2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4.1887218965986552E-2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1.1532746197914981E-2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5.292136983705021E-2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9.4827327492945049E-2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3.7662025120822292E-3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2.4666540502330084E-4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1.8224902248755099E-4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1.5667424098406541E-3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1.1557877487136225E-3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7.3557470536303737E-2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7.0374948357895886E-2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6.9374948357895899E-2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6.7374948357895897E-2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1.3574171186879098E-2</v>
      </c>
      <c r="AB26" s="2">
        <f>SUMIFS(PERSALDATA!$G$2:$G$20871,PERSALDATA!$A$2:$A$20871,WORKING!A26,PERSALDATA!$D$2:$D$20871,WORKING!B26,PERSALDATA!$E$2:$E$20871,WORKING!C26,PERSALDATA!$F$2:$F$20871,"S&amp;W: BASIC SALARY (RES)")</f>
        <v>1003</v>
      </c>
      <c r="AC26" s="2">
        <f>SUMIFS(PERSALDATA!$H$2:$H$20871,PERSALDATA!$A$2:$A$20871,WORKING!A26,PERSALDATA!$D$2:$D$20871,WORKING!B26,PERSALDATA!$E$2:$E$20871,WORKING!C26)</f>
        <v>278268653.00999993</v>
      </c>
    </row>
    <row r="27" spans="1:29" x14ac:dyDescent="0.25">
      <c r="A27" s="2">
        <f>Results!$D$3</f>
        <v>5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0.73617435898249051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6.1960459466175205E-2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3.265988650438733E-2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1.4913442588512429E-2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4.3728867906839899E-2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9.5775349918152439E-2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3.9300254385177865E-3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1.9560619014320345E-4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1.3090232755134199E-4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9.3051115072690007E-3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1.2259891699609353E-3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7.4130052776362351E-2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7.0329334153558742E-2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6.9329334153558728E-2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6.732933415355874E-2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1.3851234590979445E-2</v>
      </c>
      <c r="AB27" s="2">
        <f>SUMIFS(PERSALDATA!$G$2:$G$20871,PERSALDATA!$A$2:$A$20871,WORKING!A27,PERSALDATA!$D$2:$D$20871,WORKING!B27,PERSALDATA!$E$2:$E$20871,WORKING!C27,PERSALDATA!$F$2:$F$20871,"S&amp;W: BASIC SALARY (RES)")</f>
        <v>887</v>
      </c>
      <c r="AC27" s="2">
        <f>SUMIFS(PERSALDATA!$H$2:$H$20871,PERSALDATA!$A$2:$A$20871,WORKING!A27,PERSALDATA!$D$2:$D$20871,WORKING!B27,PERSALDATA!$E$2:$E$20871,WORKING!C27)</f>
        <v>308697490.38</v>
      </c>
    </row>
    <row r="28" spans="1:29" x14ac:dyDescent="0.25">
      <c r="A28" s="2">
        <f>Results!$D$3</f>
        <v>5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0.7501543742046094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6.4143733063718594E-2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2.9255654783940613E-2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1.356208772402588E-2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3.8273785813196834E-2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9.7527353590526222E-2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6.3309808724202219E-3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1.773199213097534E-4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5.7471002625238382E-4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7.4312403237805261E-2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7.0281550239358545E-2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6.9281550239358544E-2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6.7281550239358556E-2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1.3984398592223292E-2</v>
      </c>
      <c r="AB28" s="2">
        <f>SUMIFS(PERSALDATA!$G$2:$G$20871,PERSALDATA!$A$2:$A$20871,WORKING!A28,PERSALDATA!$D$2:$D$20871,WORKING!B28,PERSALDATA!$E$2:$E$20871,WORKING!C28,PERSALDATA!$F$2:$F$20871,"S&amp;W: BASIC SALARY (RES)")</f>
        <v>32</v>
      </c>
      <c r="AC28" s="2">
        <f>SUMIFS(PERSALDATA!$H$2:$H$20871,PERSALDATA!$A$2:$A$20871,WORKING!A28,PERSALDATA!$D$2:$D$20871,WORKING!B28,PERSALDATA!$E$2:$E$20871,WORKING!C28)</f>
        <v>12592437.350000001</v>
      </c>
    </row>
    <row r="29" spans="1:29" x14ac:dyDescent="0.25">
      <c r="A29" s="2">
        <f>Results!$D$3</f>
        <v>5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0.75728853283088271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6.3511549911785981E-2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2.2576286340509219E-2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1.3297911314883729E-2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3.3889637674765542E-2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9.8142637432724708E-2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5.5316689508612205E-3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1.3980789165895119E-4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1.5634354915610212E-3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2.9423418066790944E-3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9.7077825595187725E-4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1.4541209773587344E-4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7.475865716556801E-2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7.028258170171639E-2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6.9282581701716403E-2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6.7282581701716387E-2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1.4150914021395993E-2</v>
      </c>
      <c r="AB29" s="2">
        <f>SUMIFS(PERSALDATA!$G$2:$G$20871,PERSALDATA!$A$2:$A$20871,WORKING!A29,PERSALDATA!$D$2:$D$20871,WORKING!B29,PERSALDATA!$E$2:$E$20871,WORKING!C29,PERSALDATA!$F$2:$F$20871,"S&amp;W: BASIC SALARY (RES)")</f>
        <v>310</v>
      </c>
      <c r="AC29" s="2">
        <f>SUMIFS(PERSALDATA!$H$2:$H$20871,PERSALDATA!$A$2:$A$20871,WORKING!A29,PERSALDATA!$D$2:$D$20871,WORKING!B29,PERSALDATA!$E$2:$E$20871,WORKING!C29)</f>
        <v>145865442.63</v>
      </c>
    </row>
    <row r="30" spans="1:29" x14ac:dyDescent="0.25">
      <c r="A30" s="2">
        <f>Results!$D$3</f>
        <v>5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0.71818708681078469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5.5749306404882966E-2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1.1782083912771657E-2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8.4646543454497663E-3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1.233484702871885E-2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9.3322561112271427E-2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5.1686191625848043E-3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1.1888412522690354E-4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9.4871957097308945E-2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1.4636462773999239E-2</v>
      </c>
      <c r="AB30" s="2">
        <f>SUMIFS(PERSALDATA!$G$2:$G$20871,PERSALDATA!$A$2:$A$20871,WORKING!A30,PERSALDATA!$D$2:$D$20871,WORKING!B30,PERSALDATA!$E$2:$E$20871,WORKING!C30,PERSALDATA!$F$2:$F$20871,"S&amp;W: BASIC SALARY (RES)")</f>
        <v>14</v>
      </c>
      <c r="AC30" s="2">
        <f>SUMIFS(PERSALDATA!$H$2:$H$20871,PERSALDATA!$A$2:$A$20871,WORKING!A30,PERSALDATA!$D$2:$D$20871,WORKING!B30,PERSALDATA!$E$2:$E$20871,WORKING!C30)</f>
        <v>8238610.4800000014</v>
      </c>
    </row>
    <row r="31" spans="1:29" x14ac:dyDescent="0.25">
      <c r="A31" s="2">
        <f>Results!$D$3</f>
        <v>5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0.71976850005700499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5.9347915942505658E-2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7.6613485265037071E-3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4.248119136442908E-3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1.7851800936948218E-2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9.3591260733439652E-2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7.18300133760791E-3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9.6204427598882357E-5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2.2814110966052489E-4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7.5123657472292521E-2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1.4364689077823898E-2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1.5709400881968642E-4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3.7826723335134351E-4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1.4615859691634236E-2</v>
      </c>
      <c r="AB31" s="2">
        <f>SUMIFS(PERSALDATA!$G$2:$G$20871,PERSALDATA!$A$2:$A$20871,WORKING!A31,PERSALDATA!$D$2:$D$20871,WORKING!B31,PERSALDATA!$E$2:$E$20871,WORKING!C31,PERSALDATA!$F$2:$F$20871,"S&amp;W: BASIC SALARY (RES)")</f>
        <v>77</v>
      </c>
      <c r="AC31" s="2">
        <f>SUMIFS(PERSALDATA!$H$2:$H$20871,PERSALDATA!$A$2:$A$20871,WORKING!A31,PERSALDATA!$D$2:$D$20871,WORKING!B31,PERSALDATA!$E$2:$E$20871,WORKING!C31)</f>
        <v>56539393.61999999</v>
      </c>
    </row>
    <row r="32" spans="1:29" x14ac:dyDescent="0.25">
      <c r="A32" s="2">
        <f>Results!$D$3</f>
        <v>5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0.63749148763335473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5.2750330715352976E-2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1.8881680309317684E-2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1.0435852715631707E-2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8.3309412594957485E-2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1.6832635323143633E-3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7.6416435653120751E-5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0.18324599486519189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1.0307517929545712E-2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1.8180432686801778E-3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1.4559090758090958E-2</v>
      </c>
      <c r="AB32" s="2">
        <f>SUMIFS(PERSALDATA!$G$2:$G$20871,PERSALDATA!$A$2:$A$20871,WORKING!A32,PERSALDATA!$D$2:$D$20871,WORKING!B32,PERSALDATA!$E$2:$E$20871,WORKING!C32,PERSALDATA!$F$2:$F$20871,"S&amp;W: BASIC SALARY (RES)")</f>
        <v>45</v>
      </c>
      <c r="AC32" s="2">
        <f>SUMIFS(PERSALDATA!$H$2:$H$20871,PERSALDATA!$A$2:$A$20871,WORKING!A32,PERSALDATA!$D$2:$D$20871,WORKING!B32,PERSALDATA!$E$2:$E$20871,WORKING!C32)</f>
        <v>42341676.530000016</v>
      </c>
    </row>
    <row r="33" spans="1:29" x14ac:dyDescent="0.25">
      <c r="A33" s="2">
        <f>Results!$D$3</f>
        <v>5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0.59795274070828464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4.7132768309776793E-2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2.2454729204970981E-2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1.3141331143251889E-2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7.7733732780076614E-2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6.2701758975881012E-5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0.24009285896796062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1.4291371267025732E-3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1.4465118568392018E-2</v>
      </c>
      <c r="AB33" s="2">
        <f>SUMIFS(PERSALDATA!$G$2:$G$20871,PERSALDATA!$A$2:$A$20871,WORKING!A33,PERSALDATA!$D$2:$D$20871,WORKING!B33,PERSALDATA!$E$2:$E$20871,WORKING!C33,PERSALDATA!$F$2:$F$20871,"S&amp;W: BASIC SALARY (RES)")</f>
        <v>11</v>
      </c>
      <c r="AC33" s="2">
        <f>SUMIFS(PERSALDATA!$H$2:$H$20871,PERSALDATA!$A$2:$A$20871,WORKING!A33,PERSALDATA!$D$2:$D$20871,WORKING!B33,PERSALDATA!$E$2:$E$20871,WORKING!C33)</f>
        <v>11715460.810000001</v>
      </c>
    </row>
    <row r="34" spans="1:29" x14ac:dyDescent="0.25">
      <c r="A34" s="2">
        <f>Results!$D$3</f>
        <v>5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0.59996890063753694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4.9997408386461405E-2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1.6943021843679445E-2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7.7995818863491065E-2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5.1988324920342711E-5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0.25504286194391085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1.4745074847471002E-2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1345686.75</v>
      </c>
    </row>
    <row r="35" spans="1:29" x14ac:dyDescent="0.25">
      <c r="A35" s="2">
        <f>Results!$D$3</f>
        <v>5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5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5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1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28</v>
      </c>
      <c r="AC37" s="2">
        <f>SUMIFS(PERSALDATA!$H$2:$H$20871,PERSALDATA!$A$2:$A$20871,WORKING!A37,PERSALDATA!$D$2:$D$20871,WORKING!B37,PERSALDATA!$E$2:$E$20871,WORKING!C37)</f>
        <v>430000</v>
      </c>
    </row>
    <row r="38" spans="1:29" x14ac:dyDescent="0.25">
      <c r="A38" s="2">
        <f>Results!$D$3</f>
        <v>5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5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0.70600449270060495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4.7431826382986368E-2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8.5268463612689777E-2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0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6.8048971099793812E-2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9.2728417930110399E-2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0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5.1782827381456403E-4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0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0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0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7.047228236083268E-2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7.0168049930369999E-2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6.9168049930369999E-2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6.7168049930369997E-2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1.2692471055205524E-2</v>
      </c>
      <c r="AB39" s="2">
        <f>SUMIFS(PERSALDATA!$G$2:$G$20871,PERSALDATA!$A$2:$A$20871,WORKING!A39,PERSALDATA!$D$2:$D$20871,WORKING!B39,PERSALDATA!$E$2:$E$20871,WORKING!C39,PERSALDATA!$F$2:$F$20871,"S&amp;W: BASIC SALARY (RES)")</f>
        <v>3</v>
      </c>
      <c r="AC39" s="2">
        <f>SUMIFS(PERSALDATA!$H$2:$H$20871,PERSALDATA!$A$2:$A$20871,WORKING!A39,PERSALDATA!$D$2:$D$20871,WORKING!B39,PERSALDATA!$E$2:$E$20871,WORKING!C39)</f>
        <v>337756.76000000007</v>
      </c>
    </row>
    <row r="40" spans="1:29" x14ac:dyDescent="0.25">
      <c r="A40" s="2">
        <f>Results!$D$3</f>
        <v>5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5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0.70777732915103708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5.9917219544173596E-2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5.4489778163913684E-2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3.0351491451653983E-2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5.0376578337940542E-2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9.2010225063956994E-2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3.5700664752459784E-4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4.7203716397996084E-3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7.2564048956273733E-2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7.0210750893429985E-2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6.9210750893429984E-2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6.7210750893429982E-2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1.3421649552759317E-2</v>
      </c>
      <c r="AB41" s="2">
        <f>SUMIFS(PERSALDATA!$G$2:$G$20871,PERSALDATA!$A$2:$A$20871,WORKING!A41,PERSALDATA!$D$2:$D$20871,WORKING!B41,PERSALDATA!$E$2:$E$20871,WORKING!C41,PERSALDATA!$F$2:$F$20871,"S&amp;W: BASIC SALARY (RES)")</f>
        <v>5</v>
      </c>
      <c r="AC41" s="2">
        <f>SUMIFS(PERSALDATA!$H$2:$H$20871,PERSALDATA!$A$2:$A$20871,WORKING!A41,PERSALDATA!$D$2:$D$20871,WORKING!B41,PERSALDATA!$E$2:$E$20871,WORKING!C41)</f>
        <v>963483.46</v>
      </c>
    </row>
    <row r="42" spans="1:29" x14ac:dyDescent="0.25">
      <c r="A42" s="2">
        <f>Results!$D$3</f>
        <v>5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0.68470856731828966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5.6800346810971153E-2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5.0850358196799568E-2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2.3775009170713339E-2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5.5845538419390647E-2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8.9514059388140291E-2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2.1142261296110188E-3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2.8935956817634451E-4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2.9184241842358197E-4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3.563623761853317E-2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1.7445496095128631E-4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7.2917210314914702E-2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7.0329179494322866E-2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6.9329179494322865E-2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6.7329179494322891E-2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1.3395221157234504E-2</v>
      </c>
      <c r="AB42" s="2">
        <f>SUMIFS(PERSALDATA!$G$2:$G$20871,PERSALDATA!$A$2:$A$20871,WORKING!A42,PERSALDATA!$D$2:$D$20871,WORKING!B42,PERSALDATA!$E$2:$E$20871,WORKING!C42,PERSALDATA!$F$2:$F$20871,"S&amp;W: BASIC SALARY (RES)")</f>
        <v>547</v>
      </c>
      <c r="AC42" s="2">
        <f>SUMIFS(PERSALDATA!$H$2:$H$20871,PERSALDATA!$A$2:$A$20871,WORKING!A42,PERSALDATA!$D$2:$D$20871,WORKING!B42,PERSALDATA!$E$2:$E$20871,WORKING!C42)</f>
        <v>133237999.49999997</v>
      </c>
    </row>
    <row r="43" spans="1:29" x14ac:dyDescent="0.25">
      <c r="A43" s="2">
        <f>Results!$D$3</f>
        <v>5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0.70326389589669891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6.1069933007504199E-2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3.6519934957513205E-2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3.2583632069931728E-2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5.8671809381384089E-2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9.150574601090429E-2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4.4660930972241801E-3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2.3813124793600586E-4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7.7114488257685717E-3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3.9693755051348973E-3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7.4045890274568357E-2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7.0514877791145625E-2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6.9514877791145638E-2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6.751487779114565E-2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1.3568551866197502E-2</v>
      </c>
      <c r="AB43" s="2">
        <f>SUMIFS(PERSALDATA!$G$2:$G$20871,PERSALDATA!$A$2:$A$20871,WORKING!A43,PERSALDATA!$D$2:$D$20871,WORKING!B43,PERSALDATA!$E$2:$E$20871,WORKING!C43,PERSALDATA!$F$2:$F$20871,"S&amp;W: BASIC SALARY (RES)")</f>
        <v>37</v>
      </c>
      <c r="AC43" s="2">
        <f>SUMIFS(PERSALDATA!$H$2:$H$20871,PERSALDATA!$A$2:$A$20871,WORKING!A43,PERSALDATA!$D$2:$D$20871,WORKING!B43,PERSALDATA!$E$2:$E$20871,WORKING!C43)</f>
        <v>11188409.849999998</v>
      </c>
    </row>
    <row r="44" spans="1:29" x14ac:dyDescent="0.25">
      <c r="A44" s="2">
        <f>Results!$D$3</f>
        <v>5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0.7093582845146188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5.9328371008920723E-2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3.4250270651029757E-2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3.8301733781124087E-2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4.5321889213172241E-2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9.2327385883739274E-2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4.5502769911472188E-3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1.9428813941509791E-4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1.0511856486209105E-5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1.4793853703821433E-2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8.5015215163280751E-4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7.1298210489252904E-4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7.4031485879506156E-2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7.0337325631687306E-2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6.9337325631687319E-2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6.7337325631687303E-2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1.3803503279945744E-2</v>
      </c>
      <c r="AB44" s="2">
        <f>SUMIFS(PERSALDATA!$G$2:$G$20871,PERSALDATA!$A$2:$A$20871,WORKING!A44,PERSALDATA!$D$2:$D$20871,WORKING!B44,PERSALDATA!$E$2:$E$20871,WORKING!C44,PERSALDATA!$F$2:$F$20871,"S&amp;W: BASIC SALARY (RES)")</f>
        <v>179</v>
      </c>
      <c r="AC44" s="2">
        <f>SUMIFS(PERSALDATA!$H$2:$H$20871,PERSALDATA!$A$2:$A$20871,WORKING!A44,PERSALDATA!$D$2:$D$20871,WORKING!B44,PERSALDATA!$E$2:$E$20871,WORKING!C44)</f>
        <v>62084180.929999985</v>
      </c>
    </row>
    <row r="45" spans="1:29" x14ac:dyDescent="0.25">
      <c r="A45" s="2">
        <f>Results!$D$3</f>
        <v>5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5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0.71737463327262763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5.9338005735420987E-2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1.9311496220579066E-2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1.9056496604677817E-2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3.7722069202210017E-2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9.3345666342564082E-2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4.5423736237554333E-3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1.3254525895562029E-4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2.8532462390015653E-3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1.2371530883416722E-2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3.1088927976171999E-4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4.0252399934769488E-4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3.3238523337681479E-2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7.5060435256066912E-2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7.0372716075827332E-2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6.9372716075827345E-2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6.7372716075827371E-2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1.4142508339773827E-2</v>
      </c>
      <c r="AB46" s="2">
        <f>SUMIFS(PERSALDATA!$G$2:$G$20871,PERSALDATA!$A$2:$A$20871,WORKING!A46,PERSALDATA!$D$2:$D$20871,WORKING!B46,PERSALDATA!$E$2:$E$20871,WORKING!C46,PERSALDATA!$F$2:$F$20871,"S&amp;W: BASIC SALARY (RES)")</f>
        <v>96</v>
      </c>
      <c r="AC46" s="2">
        <f>SUMIFS(PERSALDATA!$H$2:$H$20871,PERSALDATA!$A$2:$A$20871,WORKING!A46,PERSALDATA!$D$2:$D$20871,WORKING!B46,PERSALDATA!$E$2:$E$20871,WORKING!C46)</f>
        <v>52694000.940000013</v>
      </c>
    </row>
    <row r="47" spans="1:29" x14ac:dyDescent="0.25">
      <c r="A47" s="2">
        <f>Results!$D$3</f>
        <v>5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0.81930793865266016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3.1546789758152297E-2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2.1499474489901631E-2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0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1.7884801819347165E-2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4.2602920735812779E-3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1.0149126690569402E-4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9.7986813738993317E-2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7.4123982004584473E-3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1.4998477630996414E-2</v>
      </c>
      <c r="AB47" s="2">
        <f>SUMIFS(PERSALDATA!$G$2:$G$20871,PERSALDATA!$A$2:$A$20871,WORKING!A47,PERSALDATA!$D$2:$D$20871,WORKING!B47,PERSALDATA!$E$2:$E$20871,WORKING!C47,PERSALDATA!$F$2:$F$20871,"S&amp;W: BASIC SALARY (RES)")</f>
        <v>6</v>
      </c>
      <c r="AC47" s="2">
        <f>SUMIFS(PERSALDATA!$H$2:$H$20871,PERSALDATA!$A$2:$A$20871,WORKING!A47,PERSALDATA!$D$2:$D$20871,WORKING!B47,PERSALDATA!$E$2:$E$20871,WORKING!C47)</f>
        <v>4997572.8500000006</v>
      </c>
    </row>
    <row r="48" spans="1:29" x14ac:dyDescent="0.25">
      <c r="A48" s="2">
        <f>Results!$D$3</f>
        <v>5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0.72223212281097082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6.2454059440528821E-2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4.641953187410371E-3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5.5398971506177078E-3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1.4888532112536546E-2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9.2802075489962083E-2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6.5987458603898406E-3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9.5797363356290996E-5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7.7169628175375454E-2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1.3065092967047252E-2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5.1209544180468643E-4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1.470560576005045E-2</v>
      </c>
      <c r="AB48" s="2">
        <f>SUMIFS(PERSALDATA!$G$2:$G$20871,PERSALDATA!$A$2:$A$20871,WORKING!A48,PERSALDATA!$D$2:$D$20871,WORKING!B48,PERSALDATA!$E$2:$E$20871,WORKING!C48,PERSALDATA!$F$2:$F$20871,"S&amp;W: BASIC SALARY (RES)")</f>
        <v>24</v>
      </c>
      <c r="AC48" s="2">
        <f>SUMIFS(PERSALDATA!$H$2:$H$20871,PERSALDATA!$A$2:$A$20871,WORKING!A48,PERSALDATA!$D$2:$D$20871,WORKING!B48,PERSALDATA!$E$2:$E$20871,WORKING!C48)</f>
        <v>17344423.079999998</v>
      </c>
    </row>
    <row r="49" spans="1:29" x14ac:dyDescent="0.25">
      <c r="A49" s="2">
        <f>Results!$D$3</f>
        <v>5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0.63564116801606274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4.5175091955573336E-2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0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7.3349028277633491E-3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8.0190614645797825E-2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7.333390197612073E-5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0.1980406853883255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3.1780954180792707E-2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1.7632490837083635E-3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1.4888876449053907E-2</v>
      </c>
      <c r="AB49" s="2">
        <f>SUMIFS(PERSALDATA!$G$2:$G$20871,PERSALDATA!$A$2:$A$20871,WORKING!A49,PERSALDATA!$D$2:$D$20871,WORKING!B49,PERSALDATA!$E$2:$E$20871,WORKING!C49,PERSALDATA!$F$2:$F$20871,"S&amp;W: BASIC SALARY (RES)")</f>
        <v>13</v>
      </c>
      <c r="AC49" s="2">
        <f>SUMIFS(PERSALDATA!$H$2:$H$20871,PERSALDATA!$A$2:$A$20871,WORKING!A49,PERSALDATA!$D$2:$D$20871,WORKING!B49,PERSALDATA!$E$2:$E$20871,WORKING!C49)</f>
        <v>12560902.6</v>
      </c>
    </row>
    <row r="50" spans="1:29" x14ac:dyDescent="0.25">
      <c r="A50" s="2">
        <f>Results!$D$3</f>
        <v>5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0.62181824983482847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3.1177185787885153E-2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4.2681587033635143E-3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8.1572044866047404E-3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8.0836235227934122E-2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5.9758406316406227E-5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0.25368320755306756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1.4812723176055729E-2</v>
      </c>
      <c r="AB50" s="2">
        <f>SUMIFS(PERSALDATA!$G$2:$G$20871,PERSALDATA!$A$2:$A$20871,WORKING!A50,PERSALDATA!$D$2:$D$20871,WORKING!B50,PERSALDATA!$E$2:$E$20871,WORKING!C50,PERSALDATA!$F$2:$F$20871,"S&amp;W: BASIC SALARY (RES)")</f>
        <v>4</v>
      </c>
      <c r="AC50" s="2">
        <f>SUMIFS(PERSALDATA!$H$2:$H$20871,PERSALDATA!$A$2:$A$20871,WORKING!A50,PERSALDATA!$D$2:$D$20871,WORKING!B50,PERSALDATA!$E$2:$E$20871,WORKING!C50)</f>
        <v>4779578.5999999996</v>
      </c>
    </row>
    <row r="51" spans="1:29" x14ac:dyDescent="0.25">
      <c r="A51" s="2">
        <f>Results!$D$3</f>
        <v>5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0.59997073633161735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4.9997561360968105E-2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1.4283157120483597E-2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7.7996036087824766E-2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4.8982827066129023E-5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0.25770352627204013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1.4785017900786755E-2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1428255.6600000001</v>
      </c>
    </row>
    <row r="52" spans="1:29" x14ac:dyDescent="0.25">
      <c r="A52" s="2">
        <f>Results!$D$3</f>
        <v>5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5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5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5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5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5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5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5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5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5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5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5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5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5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5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5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5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5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5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5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5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5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5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5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5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5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5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5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5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5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5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5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5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5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5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5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5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5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5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5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5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5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5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5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5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5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5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5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5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5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5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5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5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5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5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5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5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5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5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5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5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5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5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5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5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5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5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5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5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5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5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5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5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5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5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5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5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5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5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5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5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5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5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5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5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5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5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5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5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5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5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5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5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5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5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5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5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5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5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5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5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5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5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5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5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5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5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5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5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5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5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5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5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5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5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5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5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5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5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5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5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5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5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5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5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5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5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5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5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5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5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5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5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5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5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5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5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5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5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5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5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5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5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5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5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5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5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5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5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5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5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5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5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5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5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5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5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5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5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5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5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5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5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5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5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5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5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5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5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5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5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5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5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5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5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5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5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5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5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5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5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5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5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5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5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5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5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5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5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5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5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5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5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5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5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5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5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5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5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5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5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5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5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5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5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5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5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5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5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5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5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5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5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5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5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5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5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5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5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5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5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5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5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F5" sqref="F5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5</v>
      </c>
      <c r="E3" s="74" t="str">
        <f>INDEX(MAPs!$I$7:$J$54,MATCH(Results!$D$3,MAPs!$I$7:$I$54,0),2)</f>
        <v>Home Affairs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3342.7268026699257</v>
      </c>
      <c r="N9" s="148">
        <f>IFERROR(SUMIFS('Employee Profile (2)'!C$4:C$50,'Employee Profile (2)'!$B$4:$B$50,Results!$D$3),"")</f>
        <v>0.33477484253078876</v>
      </c>
      <c r="O9" s="150" t="s">
        <v>620</v>
      </c>
      <c r="P9" s="143">
        <f>IFERROR(INDEX('Employee Profile (2)'!$AC$4:$AC$50,MATCH(Results!$D$3,'Employee Profile (2)'!$B$4:$B$50,0))*$Q9,"")</f>
        <v>6061.2150982419862</v>
      </c>
      <c r="Q9" s="148">
        <f>IFERROR(SUMIFS('Employee Profile (2)'!J$4:J$50,'Employee Profile (2)'!$B$4:$B$50,Results!$D$3),"")</f>
        <v>0.60703205791106518</v>
      </c>
      <c r="R9" s="150" t="s">
        <v>627</v>
      </c>
      <c r="S9" s="144">
        <f>IFERROR(INDEX('Employee Profile (2)'!$AC$4:$AC$50,MATCH(Results!$D$3,'Employee Profile (2)'!$B$4:$B$50,0))*$T9,"")</f>
        <v>457.14910219046732</v>
      </c>
      <c r="T9" s="147">
        <f>IFERROR(SUMIFS('Employee Profile (2)'!N$4:N$50,'Employee Profile (2)'!$B$4:$B$50,Results!$D$3),"")</f>
        <v>4.5783585597442895E-2</v>
      </c>
      <c r="U9" s="150" t="s">
        <v>632</v>
      </c>
      <c r="V9" s="144">
        <f>IFERROR(INDEX('Employee Profile (2)'!$AC$4:$AC$50,MATCH(Results!$D$3,'Employee Profile (2)'!$B$4:$B$50,0))*$W9,"")</f>
        <v>5415.3863871392305</v>
      </c>
      <c r="W9" s="147">
        <f>IFERROR(SUMIFS('Employee Profile (2)'!S$4:S$50,'Employee Profile (2)'!$B$4:$B$50,Results!$D$3),"")</f>
        <v>0.54235216696436961</v>
      </c>
      <c r="X9" s="150" t="s">
        <v>635</v>
      </c>
      <c r="Y9" s="144">
        <f>IFERROR(INDEX('Employee Profile (2)'!$AC$4:$AC$50,MATCH(Results!$D$3,'Employee Profile (2)'!$B$4:$B$50,0))*$Z9,"")</f>
        <v>7915.15652909655</v>
      </c>
      <c r="Z9" s="147">
        <f>IFERROR(SUMIFS('Employee Profile (2)'!V$4:V$50,'Employee Profile (2)'!$B$4:$B$50,Results!$D$3),"")</f>
        <v>0.79270470997461695</v>
      </c>
      <c r="AA9" s="150" t="s">
        <v>675</v>
      </c>
      <c r="AB9" s="144">
        <f>IFERROR(SUMIFS('Employee Profile (2)'!$AD$4:$AD$50,'Employee Profile (2)'!$B$4:$B$50,Results!$D$3),"")</f>
        <v>1238</v>
      </c>
      <c r="AC9" s="147">
        <f>IFERROR(SUMIFS('Employee Profile (2)'!$AE$4:$AE$50,'Employee Profile (2)'!$B$4:$B$50,Results!$D$3),"")</f>
        <v>0.12398597896845268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4359.3437999435928</v>
      </c>
      <c r="N10" s="148">
        <f>IFERROR(SUMIFS('Employee Profile (2)'!D$4:D$50,'Employee Profile (2)'!$B$4:$B$50,Results!$D$3),"")</f>
        <v>0.43658926389019459</v>
      </c>
      <c r="O10" s="150" t="s">
        <v>621</v>
      </c>
      <c r="P10" s="143">
        <f>IFERROR(INDEX('Employee Profile (2)'!$AC$4:$AC$50,MATCH(Results!$D$3,'Employee Profile (2)'!$B$4:$B$50,0))*$Q10,"")</f>
        <v>2197.5072858888784</v>
      </c>
      <c r="Q10" s="148">
        <f>IFERROR(SUMIFS('Employee Profile (2)'!K$4:K$50,'Employee Profile (2)'!$B$4:$B$50,Results!$D$3),"")</f>
        <v>0.22008084986368337</v>
      </c>
      <c r="R10" s="150" t="s">
        <v>628</v>
      </c>
      <c r="S10" s="144">
        <f>IFERROR(INDEX('Employee Profile (2)'!$AC$4:$AC$50,MATCH(Results!$D$3,'Employee Profile (2)'!$B$4:$B$50,0))*$T10,"")</f>
        <v>4921.6278085926479</v>
      </c>
      <c r="T10" s="147">
        <f>IFERROR(SUMIFS('Employee Profile (2)'!O$4:O$50,'Employee Profile (2)'!$B$4:$B$50,Results!$D$3),"")</f>
        <v>0.49290213406035532</v>
      </c>
      <c r="U10" s="150" t="s">
        <v>633</v>
      </c>
      <c r="V10" s="144">
        <f>IFERROR(INDEX('Employee Profile (2)'!$AC$4:$AC$50,MATCH(Results!$D$3,'Employee Profile (2)'!$B$4:$B$50,0))*$W10,"")</f>
        <v>3713.5150888408389</v>
      </c>
      <c r="W10" s="147">
        <f>IFERROR(SUMIFS('Employee Profile (2)'!T$4:T$50,'Employee Profile (2)'!$B$4:$B$50,Results!$D$3),"")</f>
        <v>0.37190937294349913</v>
      </c>
      <c r="X10" s="150" t="s">
        <v>636</v>
      </c>
      <c r="Y10" s="144">
        <f>IFERROR(INDEX('Employee Profile (2)'!$AC$4:$AC$50,MATCH(Results!$D$3,'Employee Profile (2)'!$B$4:$B$50,0))*$Z10,"")</f>
        <v>552.89696342953846</v>
      </c>
      <c r="Z10" s="147">
        <f>IFERROR(SUMIFS('Employee Profile (2)'!W$4:W$50,'Employee Profile (2)'!$B$4:$B$50,Results!$D$3),"")</f>
        <v>5.5372755476168094E-2</v>
      </c>
      <c r="AA10" s="150" t="s">
        <v>676</v>
      </c>
      <c r="AB10" s="144">
        <f>IFERROR(INDEX('Employee Profile (2)'!$AC$4:$AC$50,MATCH(Results!$D$3,'Employee Profile (2)'!$B$4:$B$50))-$AB$9,"")</f>
        <v>8747</v>
      </c>
      <c r="AC10" s="147">
        <f>IFERROR(100%-$AC$9,"")</f>
        <v>0.87601402103154735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130</v>
      </c>
      <c r="H11" s="158">
        <v>30</v>
      </c>
      <c r="I11" s="158">
        <v>283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770.67641252232772</v>
      </c>
      <c r="N11" s="148">
        <f>IFERROR(SUMIFS('Employee Profile (2)'!E$4:E$50,'Employee Profile (2)'!$B$4:$B$50,Results!$D$3),"")</f>
        <v>7.7183416376797973E-2</v>
      </c>
      <c r="O11" s="150" t="s">
        <v>622</v>
      </c>
      <c r="P11" s="143">
        <f>IFERROR(INDEX('Employee Profile (2)'!$AC$4:$AC$50,MATCH(Results!$D$3,'Employee Profile (2)'!$B$4:$B$50,0))*$Q11,"")</f>
        <v>1290.7187176835575</v>
      </c>
      <c r="Q11" s="148">
        <f>IFERROR(SUMIFS('Employee Profile (2)'!L$4:L$50,'Employee Profile (2)'!$B$4:$B$50,Results!$D$3),"")</f>
        <v>0.12926577042399173</v>
      </c>
      <c r="R11" s="150" t="s">
        <v>629</v>
      </c>
      <c r="S11" s="144">
        <f>IFERROR(INDEX('Employee Profile (2)'!$AC$4:$AC$50,MATCH(Results!$D$3,'Employee Profile (2)'!$B$4:$B$50,0))*$T11,"")</f>
        <v>2246.3199210303655</v>
      </c>
      <c r="T11" s="147">
        <f>IFERROR(SUMIFS('Employee Profile (2)'!P$4:P$50,'Employee Profile (2)'!$B$4:$B$50,Results!$D$3),"")</f>
        <v>0.22496944627244522</v>
      </c>
      <c r="U11" s="150" t="s">
        <v>53</v>
      </c>
      <c r="V11" s="144">
        <f>IFERROR(INDEX('Employee Profile (2)'!$AC$4:$AC$50,MATCH(Results!$D$3,'Employee Profile (2)'!$B$4:$B$50,0))*$W11,"")</f>
        <v>856.09852401993044</v>
      </c>
      <c r="W11" s="147">
        <f>IFERROR(SUMIFS('Employee Profile (2)'!U$4:U$50,'Employee Profile (2)'!$B$4:$B$50,Results!$D$3),"")</f>
        <v>8.5738460092131236E-2</v>
      </c>
      <c r="X11" s="150" t="s">
        <v>637</v>
      </c>
      <c r="Y11" s="144">
        <f>IFERROR(INDEX('Employee Profile (2)'!$AC$4:$AC$50,MATCH(Results!$D$3,'Employee Profile (2)'!$B$4:$B$50,0))*$Z11,"")</f>
        <v>91.993043151264445</v>
      </c>
      <c r="Z11" s="147">
        <f>IFERROR(SUMIFS('Employee Profile (2)'!X$4:X$50,'Employee Profile (2)'!$B$4:$B$50,Results!$D$3),"")</f>
        <v>9.2131240011281371E-3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14</v>
      </c>
      <c r="H12" s="158">
        <v>25</v>
      </c>
      <c r="I12" s="158">
        <v>24</v>
      </c>
      <c r="J12" s="158">
        <v>35</v>
      </c>
      <c r="L12" s="150" t="s">
        <v>659</v>
      </c>
      <c r="M12" s="143">
        <f>IFERROR(INDEX('Employee Profile (2)'!$AC$4:$AC$50,MATCH(Results!$D$3,'Employee Profile (2)'!$B$4:$B$50,0))*$N12,"")</f>
        <v>518.16489611732629</v>
      </c>
      <c r="N12" s="148">
        <f>IFERROR(SUMIFS('Employee Profile (2)'!F$4:F$50,'Employee Profile (2)'!$B$4:$B$50,Results!$D$3),"")</f>
        <v>5.1894331108395225E-2</v>
      </c>
      <c r="O12" s="150" t="s">
        <v>623</v>
      </c>
      <c r="P12" s="143">
        <f>IFERROR(INDEX('Employee Profile (2)'!$AC$4:$AC$50,MATCH(Results!$D$3,'Employee Profile (2)'!$B$4:$B$50,0))*$Q12,"")</f>
        <v>435.55889818557858</v>
      </c>
      <c r="Q12" s="148">
        <f>IFERROR(SUMIFS('Employee Profile (2)'!M$4:M$50,'Employee Profile (2)'!$B$4:$B$50,Results!$D$3),"")</f>
        <v>4.3621321801259751E-2</v>
      </c>
      <c r="R12" s="150" t="s">
        <v>630</v>
      </c>
      <c r="S12" s="144">
        <f>IFERROR(INDEX('Employee Profile (2)'!$AC$4:$AC$50,MATCH(Results!$D$3,'Employee Profile (2)'!$B$4:$B$50,0))*$T12,"")</f>
        <v>141.74438281470339</v>
      </c>
      <c r="T12" s="147">
        <f>IFERROR(SUMIFS('Employee Profile (2)'!Q$4:Q$50,'Employee Profile (2)'!$B$4:$B$50,Results!$D$3),"")</f>
        <v>1.4195731879289273E-2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568.85494030271695</v>
      </c>
      <c r="Z12" s="147">
        <f>IFERROR(SUMIFS('Employee Profile (2)'!Y$4:Y$50,'Employee Profile (2)'!$B$4:$B$50,Results!$D$3),"")</f>
        <v>5.6970950455955627E-2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137.98956472689667</v>
      </c>
      <c r="N13" s="148">
        <f>IFERROR(SUMIFS('Employee Profile (2)'!G$4:G$50,'Employee Profile (2)'!$B$4:$B$50,Results!$D$3),"")</f>
        <v>1.3819686001692207E-2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2218.1587853718156</v>
      </c>
      <c r="T13" s="147">
        <f>IFERROR(SUMIFS('Employee Profile (2)'!R$4:R$50,'Employee Profile (2)'!$B$4:$B$50,Results!$D$3),"")</f>
        <v>0.22214910219046724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856.09852401993044</v>
      </c>
      <c r="Z13" s="147">
        <f>IFERROR(SUMIFS('Employee Profile (2)'!Z$4:Z$50,'Employee Profile (2)'!$B$4:$B$50,Results!$D$3),"")</f>
        <v>8.5738460092131236E-2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15.019272351226849</v>
      </c>
      <c r="N14" s="148">
        <f>IFERROR(SUMIFS('Employee Profile (2)'!H$4:H$50,'Employee Profile (2)'!$B$4:$B$50,Results!$D$3),"")</f>
        <v>1.5041835103882673E-3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144</v>
      </c>
      <c r="H15" s="112">
        <f t="shared" ref="H15:J15" si="0">SUM(H9:H14)</f>
        <v>55</v>
      </c>
      <c r="I15" s="112">
        <f t="shared" si="0"/>
        <v>307</v>
      </c>
      <c r="J15" s="112">
        <f t="shared" si="0"/>
        <v>35</v>
      </c>
      <c r="L15" s="150" t="s">
        <v>53</v>
      </c>
      <c r="M15" s="143">
        <f>IFERROR(INDEX('Employee Profile (2)'!$AC$4:$AC$50,MATCH(Results!$D$3,'Employee Profile (2)'!$B$4:$B$50,0))*$N15,"")</f>
        <v>841.07925166870359</v>
      </c>
      <c r="N15" s="148">
        <f>IFERROR(SUMIFS('Employee Profile (2)'!I$4:I$50,'Employee Profile (2)'!$B$4:$B$50,Results!$D$3),"")</f>
        <v>8.423427658174297E-2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144</v>
      </c>
      <c r="H16" s="82">
        <f>SUMIFS($W$64:$W$509,$C$64:$C$509,"Total")</f>
        <v>55</v>
      </c>
      <c r="I16" s="82">
        <f>SUMIFS($AE$64:$AE$509,$C$64:$C$509,"Total")</f>
        <v>307</v>
      </c>
      <c r="J16" s="82">
        <f>SUMIFS($AM$64:$AM$509,$C$64:$C$509,"Total")</f>
        <v>35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1034</v>
      </c>
      <c r="G29" s="87">
        <f t="shared" ref="G29:G44" si="4">SUMIFS($K$64:$K$509,$A$64:$A$509,B29,$C$64:$C$509,"Total")</f>
        <v>401.93569632495166</v>
      </c>
      <c r="H29" s="83">
        <f t="shared" ref="H29:H44" si="5">SUMIFS($J$64:$J$509,$A$64:$A$509,B29,$C$64:$C$509,"Total")</f>
        <v>415601.51</v>
      </c>
      <c r="I29" s="21">
        <f t="shared" ref="I29:I44" si="6">-SUMIFS($O$64:$O$509,$A$64:$A$509,$B29,$C$64:$C$509,"Total")+SUMIFS($N$64:$N$509,$A$64:$A$509,$B29,$C$64:$C$509,"Total")</f>
        <v>0</v>
      </c>
      <c r="J29" s="88">
        <f t="shared" ref="J29:J44" si="7">SUMIFS($P$64:$P$509,$A$64:$A$509,$B29,$C$64:$C$509,"Total")</f>
        <v>1034</v>
      </c>
      <c r="K29" s="88">
        <f t="shared" ref="K29:K44" si="8">SUMIFS($M$64:$M$509,$A$64:$A$509,$B29,$C$64:$C$509,"Total")</f>
        <v>434.27012114512377</v>
      </c>
      <c r="L29" s="88">
        <f t="shared" ref="L29:L44" si="9">SUMIFS($R$64:$R$509,$A$64:$A$509,$B29,$C$64:$C$509,"Total")+SUMIFS($Q$64:$Q$509,$A$64:$A$509,$B29,$C$64:$C$509,"Total")</f>
        <v>0</v>
      </c>
      <c r="M29" s="88">
        <f t="shared" ref="M29:M44" si="10">SUMIFS($S$64:$S$509,$A$64:$A$509,$B29,$C$64:$C$509,"Total")</f>
        <v>449035.305264058</v>
      </c>
      <c r="N29" s="88">
        <f t="shared" ref="N29:N44" si="11">SUMIFS($S$64:$S$509,$A$64:$A$509,$B29,$C$64:$C$509,"Compensation Budget")</f>
        <v>575153</v>
      </c>
      <c r="O29" s="89">
        <f t="shared" ref="O29:O44" si="12">SUMIFS($S$64:$S$509,$A$64:$A$509,$B29,$C$64:$C$509,"Under/(Over)")</f>
        <v>126117.694735942</v>
      </c>
      <c r="P29" s="21">
        <f t="shared" ref="P29:P44" si="13">-SUMIFS($W$64:$W$509,$A$64:$A$509,$B29,$C$64:$C$509,"Total")+SUMIFS($V$64:$V$509,$A$64:$A$509,$B29,$C$64:$C$509,"Total")</f>
        <v>-3</v>
      </c>
      <c r="Q29" s="88">
        <f t="shared" ref="Q29:Q44" si="14">SUMIFS($X$64:$X$509,$A$64:$A$509,$B29,$C$64:$C$509,"Total")</f>
        <v>1031</v>
      </c>
      <c r="R29" s="88">
        <f t="shared" ref="R29:R44" si="15">SUMIFS($U$64:$U$509,$A$64:$A$509,$B29,$C$64:$C$509,"Total")</f>
        <v>470.9409484328832</v>
      </c>
      <c r="S29" s="88">
        <f t="shared" ref="S29:S44" si="16">SUMIFS($Z$64:$Z$509,$A$64:$A$509,$B29,$C$64:$C$509,"Total")+SUMIFS($Y$64:$Y$509,$A$64:$A$509,$B29,$C$64:$C$509,"Total")</f>
        <v>-841.04592349884604</v>
      </c>
      <c r="T29" s="88">
        <f t="shared" ref="T29:T44" si="17">SUMIFS($AA$64:$AA$509,$A$64:$A$509,$B29,$C$64:$C$509,"Total")</f>
        <v>485540.1178343026</v>
      </c>
      <c r="U29" s="88">
        <f t="shared" ref="U29:U44" si="18">SUMIFS($AA$64:$AA$509,$A$64:$A$509,$B29,$C$64:$C$509,"Compensation Budget")</f>
        <v>590638</v>
      </c>
      <c r="V29" s="89">
        <f t="shared" ref="V29:V44" si="19">SUMIFS($AA$64:$AA$509,$A$64:$A$509,$B29,$C$64:$C$509,"Under/(Over)")</f>
        <v>105097.8821656974</v>
      </c>
      <c r="W29" s="21">
        <f t="shared" ref="W29:W44" si="20">-SUMIFS($AE$64:$AE$509,$A$64:$A$509,$B29,$C$64:$C$509,"Total")+SUMIFS($AD$64:$AD$509,$A$64:$A$509,$B29,$C$64:$C$509,"Total")</f>
        <v>-81</v>
      </c>
      <c r="X29" s="88">
        <f t="shared" ref="X29:X44" si="21">SUMIFS($AF$64:$AF$509,$A$64:$A$509,$B29,$C$64:$C$509,"Total")</f>
        <v>950</v>
      </c>
      <c r="Y29" s="88">
        <f t="shared" ref="Y29:Y44" si="22">SUMIFS($AC$64:$AC$509,$A$64:$A$509,$B29,$C$64:$C$509,"Total")</f>
        <v>505.75013645211169</v>
      </c>
      <c r="Z29" s="88">
        <f t="shared" ref="Z29:Z44" si="23">SUMIFS($AH$64:$AH$509,$A$64:$A$509,$B29,$C$64:$C$509,"Total")+SUMIFS($AG$64:$AG$509,$A$64:$A$509,$B29,$C$64:$C$509,"Total")</f>
        <v>-44972.622712173012</v>
      </c>
      <c r="AA29" s="88">
        <f t="shared" ref="AA29:AA44" si="24">SUMIFS($AI$64:$AI$509,$A$64:$A$509,$B29,$C$64:$C$509,"Total")</f>
        <v>480462.62962950609</v>
      </c>
      <c r="AB29" s="88">
        <f t="shared" ref="AB29:AB44" si="25">SUMIFS($AI$64:$AI$509,$A$64:$A$509,$B29,$C$64:$C$509,"Compensation Budget")</f>
        <v>609633</v>
      </c>
      <c r="AC29" s="89">
        <f t="shared" ref="AC29:AC44" si="26">SUMIFS($AI$64:$AI$509,$A$64:$A$509,$B29,$C$64:$C$509,"Under/(Over)")</f>
        <v>129170.37037049391</v>
      </c>
      <c r="AD29" s="21">
        <f t="shared" ref="AD29:AD44" si="27">-SUMIFS($AM$64:$AM$509,$A$64:$A$509,$B29,$C$64:$C$509,"Total")+SUMIFS($AL$64:$AL$509,$A$64:$A$509,$B29,$C$64:$C$509,"Total")</f>
        <v>-5</v>
      </c>
      <c r="AE29" s="88">
        <f t="shared" ref="AE29:AE44" si="28">SUMIFS($AN$64:$AN$509,$A$64:$A$509,$B29,$C$64:$C$509,"Total")</f>
        <v>945</v>
      </c>
      <c r="AF29" s="88">
        <f t="shared" ref="AF29:AF44" si="29">SUMIFS($AK$64:$AK$509,$A$64:$A$509,$B29,$C$64:$C$509,"Total")</f>
        <v>544.76724994020947</v>
      </c>
      <c r="AG29" s="88">
        <f t="shared" ref="AG29:AG44" si="30">SUMIFS($AP$64:$AP$509,$A$64:$A$509,$B29,$C$64:$C$509,"Total")+SUMIFS($AO$64:$AO$509,$A$64:$A$509,$B29,$C$64:$C$509,"Total")</f>
        <v>-4207.5964473673048</v>
      </c>
      <c r="AH29" s="88">
        <f t="shared" ref="AH29:AH44" si="31">SUMIFS($AQ$64:$AQ$509,$A$64:$A$509,$B29,$C$64:$C$509,"Total")</f>
        <v>514805.05119349796</v>
      </c>
      <c r="AI29" s="88">
        <f t="shared" ref="AI29:AI44" si="32">SUMIFS($AQ$64:$AQ$509,$A$64:$A$509,$B29,$C$64:$C$509,"Compensation Budget")</f>
        <v>655965.10800000001</v>
      </c>
      <c r="AJ29" s="89">
        <f t="shared" ref="AJ29:AJ44" si="33">SUMIFS($AQ$64:$AQ$509,$A$64:$A$509,$B29,$C$64:$C$509,"Under/(Over)")</f>
        <v>141160.05680650205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Citizen Affairs</v>
      </c>
      <c r="D30" s="222">
        <f t="shared" si="2"/>
        <v>0</v>
      </c>
      <c r="E30" s="223">
        <f t="shared" si="2"/>
        <v>0</v>
      </c>
      <c r="F30" s="80">
        <f t="shared" si="3"/>
        <v>6809</v>
      </c>
      <c r="G30" s="155">
        <f t="shared" si="4"/>
        <v>271.73359083565873</v>
      </c>
      <c r="H30" s="155">
        <f t="shared" si="5"/>
        <v>1850234.0200000003</v>
      </c>
      <c r="I30" s="23">
        <f t="shared" si="6"/>
        <v>-81</v>
      </c>
      <c r="J30" s="22">
        <f t="shared" si="7"/>
        <v>6728</v>
      </c>
      <c r="K30" s="22">
        <f t="shared" si="8"/>
        <v>294.40685075713913</v>
      </c>
      <c r="L30" s="22">
        <f t="shared" si="9"/>
        <v>-30047.224108171489</v>
      </c>
      <c r="M30" s="22">
        <f t="shared" si="10"/>
        <v>1980769.2918940319</v>
      </c>
      <c r="N30" s="22">
        <f t="shared" si="11"/>
        <v>1902296</v>
      </c>
      <c r="O30" s="91">
        <f t="shared" si="12"/>
        <v>-78473.291894031921</v>
      </c>
      <c r="P30" s="23">
        <f t="shared" si="13"/>
        <v>-21</v>
      </c>
      <c r="Q30" s="22">
        <f t="shared" si="14"/>
        <v>6707</v>
      </c>
      <c r="R30" s="22">
        <f t="shared" si="15"/>
        <v>319.23030925894096</v>
      </c>
      <c r="S30" s="22">
        <f t="shared" si="16"/>
        <v>-7211.884772669433</v>
      </c>
      <c r="T30" s="22">
        <f t="shared" si="17"/>
        <v>2141077.6841997169</v>
      </c>
      <c r="U30" s="22">
        <f t="shared" si="18"/>
        <v>1953562</v>
      </c>
      <c r="V30" s="91">
        <f t="shared" si="19"/>
        <v>-187515.6841997169</v>
      </c>
      <c r="W30" s="23">
        <f t="shared" si="20"/>
        <v>-158</v>
      </c>
      <c r="X30" s="22">
        <f t="shared" si="21"/>
        <v>6549</v>
      </c>
      <c r="Y30" s="22">
        <f t="shared" si="22"/>
        <v>344.86243291822956</v>
      </c>
      <c r="Z30" s="22">
        <f t="shared" si="23"/>
        <v>-61483.735374789227</v>
      </c>
      <c r="AA30" s="22">
        <f t="shared" si="24"/>
        <v>2258504.0731814853</v>
      </c>
      <c r="AB30" s="22">
        <f t="shared" si="25"/>
        <v>2011489</v>
      </c>
      <c r="AC30" s="91">
        <f t="shared" si="26"/>
        <v>-247015.07318148529</v>
      </c>
      <c r="AD30" s="23">
        <f t="shared" si="27"/>
        <v>-28</v>
      </c>
      <c r="AE30" s="22">
        <f t="shared" si="28"/>
        <v>6521</v>
      </c>
      <c r="AF30" s="22">
        <f t="shared" si="29"/>
        <v>372.91623139295416</v>
      </c>
      <c r="AG30" s="22">
        <f t="shared" si="30"/>
        <v>-10862.431015833199</v>
      </c>
      <c r="AH30" s="22">
        <f t="shared" si="31"/>
        <v>2431786.7449134542</v>
      </c>
      <c r="AI30" s="22">
        <f t="shared" si="32"/>
        <v>2164362.1640000003</v>
      </c>
      <c r="AJ30" s="91">
        <f t="shared" si="33"/>
        <v>-267424.58091345383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Immigration Affairs</v>
      </c>
      <c r="D31" s="222">
        <f t="shared" si="2"/>
        <v>0</v>
      </c>
      <c r="E31" s="223">
        <f t="shared" si="2"/>
        <v>0</v>
      </c>
      <c r="F31" s="80">
        <f t="shared" si="3"/>
        <v>1816</v>
      </c>
      <c r="G31" s="155">
        <f t="shared" si="4"/>
        <v>276.97695484581499</v>
      </c>
      <c r="H31" s="155">
        <f t="shared" si="5"/>
        <v>502990.15</v>
      </c>
      <c r="I31" s="23">
        <f t="shared" si="6"/>
        <v>-63</v>
      </c>
      <c r="J31" s="22">
        <f t="shared" si="7"/>
        <v>1753</v>
      </c>
      <c r="K31" s="22">
        <f t="shared" si="8"/>
        <v>299.22176600957238</v>
      </c>
      <c r="L31" s="22">
        <f t="shared" si="9"/>
        <v>-22133.918760034718</v>
      </c>
      <c r="M31" s="22">
        <f t="shared" si="10"/>
        <v>524535.75581478036</v>
      </c>
      <c r="N31" s="22">
        <f t="shared" si="11"/>
        <v>669376</v>
      </c>
      <c r="O31" s="91">
        <f t="shared" si="12"/>
        <v>144840.24418521964</v>
      </c>
      <c r="P31" s="23">
        <f t="shared" si="13"/>
        <v>-31</v>
      </c>
      <c r="Q31" s="22">
        <f t="shared" si="14"/>
        <v>1722</v>
      </c>
      <c r="R31" s="22">
        <f t="shared" si="15"/>
        <v>324.08915459236056</v>
      </c>
      <c r="S31" s="22">
        <f t="shared" si="16"/>
        <v>-10824.155965907643</v>
      </c>
      <c r="T31" s="22">
        <f t="shared" si="17"/>
        <v>558081.52420804487</v>
      </c>
      <c r="U31" s="22">
        <f t="shared" si="18"/>
        <v>689545</v>
      </c>
      <c r="V31" s="91">
        <f t="shared" si="19"/>
        <v>131463.47579195513</v>
      </c>
      <c r="W31" s="23">
        <f t="shared" si="20"/>
        <v>-68</v>
      </c>
      <c r="X31" s="22">
        <f t="shared" si="21"/>
        <v>1654</v>
      </c>
      <c r="Y31" s="22">
        <f t="shared" si="22"/>
        <v>349.08436028689931</v>
      </c>
      <c r="Z31" s="22">
        <f t="shared" si="23"/>
        <v>-27334.890599644619</v>
      </c>
      <c r="AA31" s="22">
        <f t="shared" si="24"/>
        <v>577385.53191453149</v>
      </c>
      <c r="AB31" s="22">
        <f t="shared" si="25"/>
        <v>707256</v>
      </c>
      <c r="AC31" s="91">
        <f t="shared" si="26"/>
        <v>129870.46808546851</v>
      </c>
      <c r="AD31" s="23">
        <f t="shared" si="27"/>
        <v>-2</v>
      </c>
      <c r="AE31" s="22">
        <f t="shared" si="28"/>
        <v>1652</v>
      </c>
      <c r="AF31" s="22">
        <f t="shared" si="29"/>
        <v>377.6996043152601</v>
      </c>
      <c r="AG31" s="22">
        <f t="shared" si="30"/>
        <v>-507.16348619601672</v>
      </c>
      <c r="AH31" s="22">
        <f t="shared" si="31"/>
        <v>623959.74632880965</v>
      </c>
      <c r="AI31" s="22">
        <f t="shared" si="32"/>
        <v>761007.45600000001</v>
      </c>
      <c r="AJ31" s="91">
        <f t="shared" si="33"/>
        <v>137047.70967119036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9659</v>
      </c>
      <c r="G45" s="92">
        <f>IFERROR(H45/F45,0)</f>
        <v>286.65759188321772</v>
      </c>
      <c r="H45" s="92">
        <f>SUM(H29:H38)</f>
        <v>2768825.68</v>
      </c>
      <c r="I45" s="25">
        <f>SUM(I29:I38)</f>
        <v>-144</v>
      </c>
      <c r="J45" s="92">
        <f>SUM(J29:J38)</f>
        <v>9515</v>
      </c>
      <c r="K45" s="92">
        <f>IFERROR(M45/J45,0)</f>
        <v>310.49294303445822</v>
      </c>
      <c r="L45" s="92">
        <f t="shared" ref="L45:Q45" si="34">SUM(L29:L38)</f>
        <v>-52181.142868206211</v>
      </c>
      <c r="M45" s="92">
        <f t="shared" si="34"/>
        <v>2954340.3529728702</v>
      </c>
      <c r="N45" s="92">
        <f>INDEX('ENE17'!$C$2:$C$48,MATCH(Results!$D$3,'ENE17'!$A$2:$A$48,0))</f>
        <v>3069825</v>
      </c>
      <c r="O45" s="129">
        <f>N45-M45</f>
        <v>115484.64702712977</v>
      </c>
      <c r="P45" s="25">
        <f t="shared" si="34"/>
        <v>-55</v>
      </c>
      <c r="Q45" s="24">
        <f t="shared" si="34"/>
        <v>9460</v>
      </c>
      <c r="R45" s="92">
        <f>IFERROR(T45/Q45,0)</f>
        <v>336.6489774040237</v>
      </c>
      <c r="S45" s="24">
        <f>SUM(S29:S38)</f>
        <v>-18877.086662075923</v>
      </c>
      <c r="T45" s="24">
        <f>SUM(T29:T38)</f>
        <v>3184699.3262420641</v>
      </c>
      <c r="U45" s="207">
        <f>INDEX('ENE17'!$D$2:$D$48,MATCH(Results!$D$3,'ENE17'!$A$2:$A$48,0))</f>
        <v>3198176</v>
      </c>
      <c r="V45" s="24">
        <f>U45-T45</f>
        <v>13476.673757935874</v>
      </c>
      <c r="W45" s="25">
        <f t="shared" ref="W45:X45" si="35">SUM(W29:W38)</f>
        <v>-307</v>
      </c>
      <c r="X45" s="24">
        <f t="shared" si="35"/>
        <v>9153</v>
      </c>
      <c r="Y45" s="92">
        <f>IFERROR(AA45/X45,0)</f>
        <v>362.32407240527942</v>
      </c>
      <c r="Z45" s="24">
        <f t="shared" ref="Z45:AA45" si="36">SUM(Z29:Z38)</f>
        <v>-133791.24868660685</v>
      </c>
      <c r="AA45" s="24">
        <f t="shared" si="36"/>
        <v>3316352.2347255228</v>
      </c>
      <c r="AB45" s="207">
        <f>INDEX('ENE17'!$E$2:$E$48,MATCH(Results!$D$3,'ENE17'!$A$2:$A$48,0))</f>
        <v>3291079</v>
      </c>
      <c r="AC45" s="24">
        <f>AB45-AA45</f>
        <v>-25273.234725522809</v>
      </c>
      <c r="AD45" s="25">
        <f t="shared" ref="AD45:AE45" si="37">SUM(AD29:AD38)</f>
        <v>-35</v>
      </c>
      <c r="AE45" s="24">
        <f t="shared" si="37"/>
        <v>9118</v>
      </c>
      <c r="AF45" s="92">
        <f>IFERROR(AH45/AE45,0)</f>
        <v>391.59372038119784</v>
      </c>
      <c r="AG45" s="24">
        <f t="shared" ref="AG45:AH45" si="38">SUM(AG29:AG38)</f>
        <v>-15577.190949396521</v>
      </c>
      <c r="AH45" s="24">
        <f t="shared" si="38"/>
        <v>3570551.542435762</v>
      </c>
      <c r="AI45" s="207">
        <f>INDEX('ENE17'!$F$2:$F$48,MATCH(Results!$D$3,'ENE17'!$A$2:$A$48,0))</f>
        <v>3541970</v>
      </c>
      <c r="AJ45" s="24">
        <f>AI45-AH45</f>
        <v>-28581.542435762007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6761</v>
      </c>
      <c r="G51" s="193">
        <f>IFERROR(H51/F51,"")</f>
        <v>226.14839964502298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1528989.3300000003</v>
      </c>
      <c r="I51" s="97">
        <f>SUMIFS($N$64:$N$509,$B$64:$B$509,$B51)-SUMIFS($O$64:$O$509,$B$64:$B$509,$B51)</f>
        <v>-50</v>
      </c>
      <c r="J51" s="80">
        <f>SUMIFS($P$64:$P$509,$B$64:$B$509,$B51)</f>
        <v>6711</v>
      </c>
      <c r="K51" s="80">
        <f>IFERROR(M51/J51,0)</f>
        <v>245.9061107326211</v>
      </c>
      <c r="L51" s="80">
        <f>SUMIFS($R$64:$R$509,$B$64:$B$509,$B51)+SUMIFS($Q$64:$Q$509,$B$64:$B$509,$B51)</f>
        <v>-12054.063719451682</v>
      </c>
      <c r="M51" s="98">
        <f>SUMIFS($S$64:$S$509,$B$64:$B$509,$B51)</f>
        <v>1650275.9091266203</v>
      </c>
      <c r="N51" s="80">
        <f>SUMIFS($V$64:$V$509,$B$64:$B$509,$B51)-SUMIFS($W$64:$W$509,$B$64:$B$509,$B51)</f>
        <v>-40</v>
      </c>
      <c r="O51" s="80">
        <f>SUMIFS($X$64:$X$509,$B$64:$B$509,$B51)</f>
        <v>6671</v>
      </c>
      <c r="P51" s="80">
        <f>IFERROR(R51/O51,0)</f>
        <v>266.75056599608115</v>
      </c>
      <c r="Q51" s="80">
        <f>SUMIFS($Z$64:$Z$509,$B$64:$B$509,$B51)+SUMIFS($Y$64:$Y$509,$B$64:$B$509,$B51)</f>
        <v>-10466.877530718757</v>
      </c>
      <c r="R51" s="80">
        <f>SUMIFS($AA$64:$AA$509,$B$64:$B$509,$B51)</f>
        <v>1779493.0257598574</v>
      </c>
      <c r="S51" s="97">
        <f>SUMIFS($AD$64:$AD$509,$B$64:$B$509,$B51)-SUMIFS($AE$64:$AE$509,$B$64:$B$509,$B51)</f>
        <v>-158</v>
      </c>
      <c r="T51" s="80">
        <f>SUMIFS($AF$64:$AF$509,$B$64:$B$509,$B51)</f>
        <v>6513</v>
      </c>
      <c r="U51" s="80">
        <f>IFERROR(W51/T51,0)</f>
        <v>289.53567427875453</v>
      </c>
      <c r="V51" s="80">
        <f>SUMIFS($AH$64:$AH$509,$B$64:$B$509,$B51)+SUMIFS($AG$64:$AG$509,$B$64:$B$509,$B51)</f>
        <v>-42565.461008798578</v>
      </c>
      <c r="W51" s="98">
        <f>SUMIFS($AI$64:$AI$509,$B$64:$B$509,$B51)</f>
        <v>1885745.8465775284</v>
      </c>
      <c r="X51" s="80">
        <f>SUMIFS($AL$64:$AL$509,$B$64:$B$509,$B51)-SUMIFS($AM$64:$AM$509,$B$64:$B$509,$B51)</f>
        <v>-23</v>
      </c>
      <c r="Y51" s="80">
        <f>SUMIFS($AN$64:$AN$509,$B$64:$B$509,$B51)</f>
        <v>6490</v>
      </c>
      <c r="Z51" s="80">
        <f>IFERROR(AB51/Y51,0)</f>
        <v>313.28053582590121</v>
      </c>
      <c r="AA51" s="80">
        <f>SUMIFS($AP$64:$AP$509,$B$64:$B$509,$B51)+SUMIFS($AO$64:$AO$509,$B$64:$B$509,$B51)</f>
        <v>-6440.9143194450799</v>
      </c>
      <c r="AB51" s="98">
        <f>SUMIFS($AQ$64:$AQ$509,$B$64:$B$509,$B51)</f>
        <v>2033190.677510099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2502</v>
      </c>
      <c r="G52" s="192">
        <f t="shared" ref="G52:G55" si="40">IFERROR(H52/F52,"")</f>
        <v>368.15683453237415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921128.40000000014</v>
      </c>
      <c r="I52" s="97">
        <f>SUMIFS($N$64:$N$509,$B$64:$B$509,$B52)-SUMIFS($O$64:$O$509,$B$64:$B$509,$B52)</f>
        <v>-94</v>
      </c>
      <c r="J52" s="80">
        <f>SUMIFS($P$64:$P$509,$B$64:$B$509,$B52)</f>
        <v>2408</v>
      </c>
      <c r="K52" s="80">
        <f t="shared" ref="K52:K56" si="41">IFERROR(M52/J52,0)</f>
        <v>399.93550268738466</v>
      </c>
      <c r="L52" s="80">
        <f>SUMIFS($R$64:$R$509,$B$64:$B$509,$B52)+SUMIFS($Q$64:$Q$509,$B$64:$B$509,$B52)</f>
        <v>-40127.079148754521</v>
      </c>
      <c r="M52" s="98">
        <f>SUMIFS($S$64:$S$509,$B$64:$B$509,$B52)</f>
        <v>963044.69047122227</v>
      </c>
      <c r="N52" s="80">
        <f>SUMIFS($V$64:$V$509,$B$64:$B$509,$B52)-SUMIFS($W$64:$W$509,$B$64:$B$509,$B52)</f>
        <v>-12</v>
      </c>
      <c r="O52" s="80">
        <f>SUMIFS($X$64:$X$509,$B$64:$B$509,$B52)</f>
        <v>2396</v>
      </c>
      <c r="P52" s="80">
        <f t="shared" ref="P52:P55" si="42">IFERROR(R52/O52,0)</f>
        <v>433.70814353957911</v>
      </c>
      <c r="Q52" s="80">
        <f>SUMIFS($Z$64:$Z$509,$B$64:$B$509,$B52)+SUMIFS($Y$64:$Y$509,$B$64:$B$509,$B52)</f>
        <v>-5901.4338517489468</v>
      </c>
      <c r="R52" s="80">
        <f>SUMIFS($AA$64:$AA$509,$B$64:$B$509,$B52)</f>
        <v>1039164.7119208316</v>
      </c>
      <c r="S52" s="97">
        <f>SUMIFS($AD$64:$AD$509,$B$64:$B$509,$B52)-SUMIFS($AE$64:$AE$509,$B$64:$B$509,$B52)</f>
        <v>-116</v>
      </c>
      <c r="T52" s="80">
        <f>SUMIFS($AF$64:$AF$509,$B$64:$B$509,$B52)</f>
        <v>2280</v>
      </c>
      <c r="U52" s="80">
        <f t="shared" ref="U52:U55" si="43">IFERROR(W52/T52,0)</f>
        <v>468.42272358944564</v>
      </c>
      <c r="V52" s="80">
        <f>SUMIFS($AH$64:$AH$509,$B$64:$B$509,$B52)+SUMIFS($AG$64:$AG$509,$B$64:$B$509,$B52)</f>
        <v>-58611.034141035641</v>
      </c>
      <c r="W52" s="98">
        <f>SUMIFS($AI$64:$AI$509,$B$64:$B$509,$B52)</f>
        <v>1068003.809783936</v>
      </c>
      <c r="X52" s="80">
        <f>SUMIFS($AL$64:$AL$509,$B$64:$B$509,$B52)-SUMIFS($AM$64:$AM$509,$B$64:$B$509,$B52)</f>
        <v>-7</v>
      </c>
      <c r="Y52" s="80">
        <f>SUMIFS($AN$64:$AN$509,$B$64:$B$509,$B52)</f>
        <v>2273</v>
      </c>
      <c r="Z52" s="80">
        <f t="shared" ref="Z52:Z55" si="44">IFERROR(AB52/Y52,0)</f>
        <v>507.03137808801029</v>
      </c>
      <c r="AA52" s="80">
        <f>SUMIFS($AP$64:$AP$509,$B$64:$B$509,$B52)+SUMIFS($AO$64:$AO$509,$B$64:$B$509,$B52)</f>
        <v>-3229.1793986693074</v>
      </c>
      <c r="AB52" s="98">
        <f>SUMIFS($AQ$64:$AQ$509,$B$64:$B$509,$B52)</f>
        <v>1152482.3223940474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235</v>
      </c>
      <c r="G53" s="192">
        <f t="shared" si="40"/>
        <v>679.49417021276599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159681.13</v>
      </c>
      <c r="I53" s="97">
        <f>SUMIFS($N$64:$N$509,$B$64:$B$509,$B53)-SUMIFS($O$64:$O$509,$B$64:$B$509,$B53)</f>
        <v>0</v>
      </c>
      <c r="J53" s="80">
        <f>SUMIFS($P$64:$P$509,$B$64:$B$509,$B53)</f>
        <v>235</v>
      </c>
      <c r="K53" s="80">
        <f t="shared" si="41"/>
        <v>741.86816360011346</v>
      </c>
      <c r="L53" s="80">
        <f>SUMIFS($R$64:$R$509,$B$64:$B$509,$B53)+SUMIFS($Q$64:$Q$509,$B$64:$B$509,$B53)</f>
        <v>0</v>
      </c>
      <c r="M53" s="98">
        <f>SUMIFS($S$64:$S$509,$B$64:$B$509,$B53)</f>
        <v>174339.01844602666</v>
      </c>
      <c r="N53" s="80">
        <f>SUMIFS($V$64:$V$509,$B$64:$B$509,$B53)-SUMIFS($W$64:$W$509,$B$64:$B$509,$B53)</f>
        <v>-3</v>
      </c>
      <c r="O53" s="80">
        <f>SUMIFS($X$64:$X$509,$B$64:$B$509,$B53)</f>
        <v>232</v>
      </c>
      <c r="P53" s="80">
        <f t="shared" si="42"/>
        <v>805.05284851895556</v>
      </c>
      <c r="Q53" s="80">
        <f>SUMIFS($Z$64:$Z$509,$B$64:$B$509,$B53)+SUMIFS($Y$64:$Y$509,$B$64:$B$509,$B53)</f>
        <v>-2508.7752796082191</v>
      </c>
      <c r="R53" s="80">
        <f>SUMIFS($AA$64:$AA$509,$B$64:$B$509,$B53)</f>
        <v>186772.26085639768</v>
      </c>
      <c r="S53" s="97">
        <f>SUMIFS($AD$64:$AD$509,$B$64:$B$509,$B53)-SUMIFS($AE$64:$AE$509,$B$64:$B$509,$B53)</f>
        <v>-18</v>
      </c>
      <c r="T53" s="80">
        <f>SUMIFS($AF$64:$AF$509,$B$64:$B$509,$B53)</f>
        <v>214</v>
      </c>
      <c r="U53" s="80">
        <f t="shared" si="43"/>
        <v>872.29168798294734</v>
      </c>
      <c r="V53" s="80">
        <f>SUMIFS($AH$64:$AH$509,$B$64:$B$509,$B53)+SUMIFS($AG$64:$AG$509,$B$64:$B$509,$B53)</f>
        <v>-15920.126176899814</v>
      </c>
      <c r="W53" s="98">
        <f>SUMIFS($AI$64:$AI$509,$B$64:$B$509,$B53)</f>
        <v>186670.42122835072</v>
      </c>
      <c r="X53" s="80">
        <f>SUMIFS($AL$64:$AL$509,$B$64:$B$509,$B53)-SUMIFS($AM$64:$AM$509,$B$64:$B$509,$B53)</f>
        <v>-1</v>
      </c>
      <c r="Y53" s="80">
        <f>SUMIFS($AN$64:$AN$509,$B$64:$B$509,$B53)</f>
        <v>213</v>
      </c>
      <c r="Z53" s="80">
        <f t="shared" si="44"/>
        <v>944.27359323902385</v>
      </c>
      <c r="AA53" s="80">
        <f>SUMIFS($AP$64:$AP$509,$B$64:$B$509,$B53)+SUMIFS($AO$64:$AO$509,$B$64:$B$509,$B53)</f>
        <v>-970.84127706789366</v>
      </c>
      <c r="AB53" s="98">
        <f>SUMIFS($AQ$64:$AQ$509,$B$64:$B$509,$B53)</f>
        <v>201130.27535991208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161</v>
      </c>
      <c r="G54" s="192">
        <f t="shared" si="40"/>
        <v>987.74422360248457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159026.82</v>
      </c>
      <c r="I54" s="97">
        <f>SUMIFS($N$64:$N$509,$B$64:$B$509,$B54)-SUMIFS($O$64:$O$509,$B$64:$B$509,$B54)</f>
        <v>0</v>
      </c>
      <c r="J54" s="80">
        <f>SUMIFS($P$64:$P$509,$B$64:$B$509,$B54)</f>
        <v>161</v>
      </c>
      <c r="K54" s="80">
        <f t="shared" si="41"/>
        <v>1035.2840678819941</v>
      </c>
      <c r="L54" s="80">
        <f>SUMIFS($R$64:$R$509,$B$64:$B$509,$B54)+SUMIFS($Q$64:$Q$509,$B$64:$B$509,$B54)</f>
        <v>0</v>
      </c>
      <c r="M54" s="98">
        <f>SUMIFS($S$64:$S$509,$B$64:$B$509,$B54)</f>
        <v>166680.73492900105</v>
      </c>
      <c r="N54" s="80">
        <f>SUMIFS($V$64:$V$509,$B$64:$B$509,$B54)-SUMIFS($W$64:$W$509,$B$64:$B$509,$B54)</f>
        <v>0</v>
      </c>
      <c r="O54" s="80">
        <f>SUMIFS($X$64:$X$509,$B$64:$B$509,$B54)</f>
        <v>161</v>
      </c>
      <c r="P54" s="80">
        <f t="shared" si="42"/>
        <v>1113.4740851240861</v>
      </c>
      <c r="Q54" s="80">
        <f>SUMIFS($Z$64:$Z$509,$B$64:$B$509,$B54)+SUMIFS($Y$64:$Y$509,$B$64:$B$509,$B54)</f>
        <v>0</v>
      </c>
      <c r="R54" s="80">
        <f>SUMIFS($AA$64:$AA$509,$B$64:$B$509,$B54)</f>
        <v>179269.32770497786</v>
      </c>
      <c r="S54" s="97">
        <f>SUMIFS($AD$64:$AD$509,$B$64:$B$509,$B54)-SUMIFS($AE$64:$AE$509,$B$64:$B$509,$B54)</f>
        <v>-15</v>
      </c>
      <c r="T54" s="80">
        <f>SUMIFS($AF$64:$AF$509,$B$64:$B$509,$B54)</f>
        <v>146</v>
      </c>
      <c r="U54" s="80">
        <f t="shared" si="43"/>
        <v>1205.0147749021082</v>
      </c>
      <c r="V54" s="80">
        <f>SUMIFS($AH$64:$AH$509,$B$64:$B$509,$B54)+SUMIFS($AG$64:$AG$509,$B$64:$B$509,$B54)</f>
        <v>-16694.627359872833</v>
      </c>
      <c r="W54" s="98">
        <f>SUMIFS($AI$64:$AI$509,$B$64:$B$509,$B54)</f>
        <v>175932.15713570779</v>
      </c>
      <c r="X54" s="80">
        <f>SUMIFS($AL$64:$AL$509,$B$64:$B$509,$B54)-SUMIFS($AM$64:$AM$509,$B$64:$B$509,$B54)</f>
        <v>-4</v>
      </c>
      <c r="Y54" s="80">
        <f>SUMIFS($AN$64:$AN$509,$B$64:$B$509,$B54)</f>
        <v>142</v>
      </c>
      <c r="Z54" s="80">
        <f t="shared" si="44"/>
        <v>1294.0018814908672</v>
      </c>
      <c r="AA54" s="80">
        <f>SUMIFS($AP$64:$AP$509,$B$64:$B$509,$B54)+SUMIFS($AO$64:$AO$509,$B$64:$B$509,$B54)</f>
        <v>-4936.255954214239</v>
      </c>
      <c r="AB54" s="98">
        <f>SUMIFS($AQ$64:$AQ$509,$B$64:$B$509,$B54)</f>
        <v>183748.26717170313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9659</v>
      </c>
      <c r="G56" s="92">
        <f t="shared" ref="G56" si="45">IFERROR(H56/F56,0)</f>
        <v>286.65759188321772</v>
      </c>
      <c r="H56" s="92">
        <f>SUM(H51:H55)</f>
        <v>2768825.68</v>
      </c>
      <c r="I56" s="92">
        <f>SUM(I51:I55)</f>
        <v>-144</v>
      </c>
      <c r="J56" s="92">
        <f>SUM(J51:J55)</f>
        <v>9515</v>
      </c>
      <c r="K56" s="92">
        <f t="shared" si="41"/>
        <v>310.49294303445822</v>
      </c>
      <c r="L56" s="92">
        <f>SUM(L51:L55)</f>
        <v>-52181.142868206203</v>
      </c>
      <c r="M56" s="92">
        <f>SUM(M51:M55)</f>
        <v>2954340.3529728702</v>
      </c>
      <c r="N56" s="92">
        <f t="shared" ref="N56:O56" si="46">SUM(N51:N55)</f>
        <v>-55</v>
      </c>
      <c r="O56" s="92">
        <f t="shared" si="46"/>
        <v>9460</v>
      </c>
      <c r="P56" s="92">
        <f>IFERROR(R56/O56,0)</f>
        <v>336.64897740402375</v>
      </c>
      <c r="Q56" s="92">
        <f t="shared" ref="Q56" si="47">SUM(Q51:Q55)</f>
        <v>-18877.086662075923</v>
      </c>
      <c r="R56" s="92">
        <f t="shared" ref="R56:T56" si="48">SUM(R51:R55)</f>
        <v>3184699.3262420646</v>
      </c>
      <c r="S56" s="92">
        <f t="shared" si="48"/>
        <v>-307</v>
      </c>
      <c r="T56" s="92">
        <f t="shared" si="48"/>
        <v>9153</v>
      </c>
      <c r="U56" s="92">
        <f>IFERROR(W56/T56,0)</f>
        <v>362.32407240527942</v>
      </c>
      <c r="V56" s="92">
        <f t="shared" ref="V56" si="49">SUM(V51:V55)</f>
        <v>-133791.24868660688</v>
      </c>
      <c r="W56" s="92">
        <f t="shared" ref="W56:Y56" si="50">SUM(W51:W55)</f>
        <v>3316352.2347255228</v>
      </c>
      <c r="X56" s="92">
        <f t="shared" si="50"/>
        <v>-35</v>
      </c>
      <c r="Y56" s="92">
        <f t="shared" si="50"/>
        <v>9118</v>
      </c>
      <c r="Z56" s="92">
        <f>IFERROR(AB56/Y56,0)</f>
        <v>391.59372038119778</v>
      </c>
      <c r="AA56" s="92">
        <f t="shared" ref="AA56" si="51">SUM(AA51:AA55)</f>
        <v>-15577.190949396519</v>
      </c>
      <c r="AB56" s="104">
        <f t="shared" ref="AB56" si="52">SUM(AB51:AB55)</f>
        <v>3570551.5424357615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332</v>
      </c>
      <c r="G64" s="35">
        <f>SUMIFS(WORKING!$AC$3:$AC$6802,WORKING!$A$3:$A$6802,Results!$D$3,WORKING!$B$3:$B$6802,Results!A64,WORKING!$C$3:$C$6802,Results!C64)/1000</f>
        <v>11349.018499999996</v>
      </c>
      <c r="H64" s="35">
        <f>IFERROR(G64/F64,0)</f>
        <v>34.183790662650594</v>
      </c>
      <c r="I64" s="156">
        <v>0</v>
      </c>
      <c r="J64" s="211">
        <v>0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37.333479182439149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40.546018602062745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43.993842280196581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47.645543562801393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48</v>
      </c>
      <c r="G66" s="35">
        <f>SUMIFS(WORKING!$AC$3:$AC$6802,WORKING!$A$3:$A$6802,Results!$D$3,WORKING!$B$3:$B$6802,Results!A66,WORKING!$C$3:$C$6802,Results!C66)/1000</f>
        <v>7074.8858</v>
      </c>
      <c r="H66" s="35">
        <f t="shared" si="60"/>
        <v>147.39345416666666</v>
      </c>
      <c r="I66" s="187">
        <v>48</v>
      </c>
      <c r="J66" s="212">
        <v>6403.64</v>
      </c>
      <c r="K66" s="217">
        <f t="shared" si="61"/>
        <v>133.40916666666666</v>
      </c>
      <c r="L66" s="34">
        <f t="shared" si="54"/>
        <v>48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144.61522410893375</v>
      </c>
      <c r="N66" s="57">
        <v>0</v>
      </c>
      <c r="O66" s="57">
        <v>0</v>
      </c>
      <c r="P66" s="61">
        <f t="shared" si="55"/>
        <v>48</v>
      </c>
      <c r="Q66" s="40">
        <f t="shared" si="62"/>
        <v>0</v>
      </c>
      <c r="R66" s="40">
        <f t="shared" si="63"/>
        <v>0</v>
      </c>
      <c r="S66" s="44">
        <f t="shared" si="64"/>
        <v>6941.5307572288202</v>
      </c>
      <c r="T66" s="35">
        <f t="shared" si="65"/>
        <v>48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156.72489821728894</v>
      </c>
      <c r="V66" s="57">
        <v>0</v>
      </c>
      <c r="W66" s="57">
        <v>0</v>
      </c>
      <c r="X66" s="61">
        <f t="shared" si="56"/>
        <v>48</v>
      </c>
      <c r="Y66" s="40">
        <f t="shared" si="66"/>
        <v>0</v>
      </c>
      <c r="Z66" s="40">
        <f t="shared" si="67"/>
        <v>0</v>
      </c>
      <c r="AA66" s="44">
        <f t="shared" si="68"/>
        <v>7522.7951144298695</v>
      </c>
      <c r="AB66" s="35">
        <f t="shared" si="69"/>
        <v>48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169.68986865680668</v>
      </c>
      <c r="AD66" s="57">
        <v>0</v>
      </c>
      <c r="AE66" s="57">
        <v>5</v>
      </c>
      <c r="AF66" s="61">
        <f t="shared" si="57"/>
        <v>43</v>
      </c>
      <c r="AG66" s="40">
        <f t="shared" si="70"/>
        <v>0</v>
      </c>
      <c r="AH66" s="40">
        <f t="shared" si="71"/>
        <v>-848.44934328403338</v>
      </c>
      <c r="AI66" s="44">
        <f t="shared" si="72"/>
        <v>7296.6643522426875</v>
      </c>
      <c r="AJ66" s="35">
        <f t="shared" si="58"/>
        <v>43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183.38362817510153</v>
      </c>
      <c r="AL66" s="57">
        <v>0</v>
      </c>
      <c r="AM66" s="57">
        <v>0</v>
      </c>
      <c r="AN66" s="61">
        <f t="shared" si="59"/>
        <v>43</v>
      </c>
      <c r="AO66" s="40">
        <f t="shared" si="73"/>
        <v>0</v>
      </c>
      <c r="AP66" s="40">
        <f t="shared" si="74"/>
        <v>0</v>
      </c>
      <c r="AQ66" s="44">
        <f t="shared" si="75"/>
        <v>7885.4960115293661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36</v>
      </c>
      <c r="G68" s="35">
        <f>SUMIFS(WORKING!$AC$3:$AC$6802,WORKING!$A$3:$A$6802,Results!$D$3,WORKING!$B$3:$B$6802,Results!A68,WORKING!$C$3:$C$6802,Results!C68)/1000</f>
        <v>7389.0831499999986</v>
      </c>
      <c r="H68" s="35">
        <f t="shared" si="60"/>
        <v>205.25230972222218</v>
      </c>
      <c r="I68" s="187">
        <v>22</v>
      </c>
      <c r="J68" s="212">
        <v>4371.6400000000003</v>
      </c>
      <c r="K68" s="217">
        <f t="shared" si="61"/>
        <v>198.7109090909091</v>
      </c>
      <c r="L68" s="34">
        <f t="shared" si="54"/>
        <v>22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215.97842210295971</v>
      </c>
      <c r="N68" s="57">
        <v>0</v>
      </c>
      <c r="O68" s="57">
        <v>0</v>
      </c>
      <c r="P68" s="61">
        <f t="shared" si="55"/>
        <v>22</v>
      </c>
      <c r="Q68" s="40">
        <f t="shared" si="62"/>
        <v>0</v>
      </c>
      <c r="R68" s="40">
        <f t="shared" si="63"/>
        <v>0</v>
      </c>
      <c r="S68" s="44">
        <f t="shared" si="64"/>
        <v>4751.5252862651141</v>
      </c>
      <c r="T68" s="35">
        <f t="shared" si="65"/>
        <v>22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234.24148158728389</v>
      </c>
      <c r="V68" s="57">
        <v>0</v>
      </c>
      <c r="W68" s="57">
        <v>1</v>
      </c>
      <c r="X68" s="61">
        <f t="shared" si="56"/>
        <v>21</v>
      </c>
      <c r="Y68" s="40">
        <f t="shared" si="66"/>
        <v>0</v>
      </c>
      <c r="Z68" s="40">
        <f t="shared" si="67"/>
        <v>-234.24148158728389</v>
      </c>
      <c r="AA68" s="44">
        <f t="shared" si="68"/>
        <v>4919.0711133329614</v>
      </c>
      <c r="AB68" s="35">
        <f t="shared" si="69"/>
        <v>21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253.81145222604451</v>
      </c>
      <c r="AD68" s="57">
        <v>0</v>
      </c>
      <c r="AE68" s="57">
        <v>2</v>
      </c>
      <c r="AF68" s="61">
        <f t="shared" si="57"/>
        <v>19</v>
      </c>
      <c r="AG68" s="40">
        <f t="shared" si="70"/>
        <v>0</v>
      </c>
      <c r="AH68" s="40">
        <f t="shared" si="71"/>
        <v>-507.62290445208902</v>
      </c>
      <c r="AI68" s="44">
        <f t="shared" si="72"/>
        <v>4822.4175922948452</v>
      </c>
      <c r="AJ68" s="35">
        <f t="shared" si="58"/>
        <v>19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274.50193598196091</v>
      </c>
      <c r="AL68" s="57">
        <v>0</v>
      </c>
      <c r="AM68" s="57">
        <v>0</v>
      </c>
      <c r="AN68" s="61">
        <f t="shared" si="59"/>
        <v>19</v>
      </c>
      <c r="AO68" s="40">
        <f t="shared" si="73"/>
        <v>0</v>
      </c>
      <c r="AP68" s="40">
        <f t="shared" si="74"/>
        <v>0</v>
      </c>
      <c r="AQ68" s="44">
        <f t="shared" si="75"/>
        <v>5215.5367836572577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243</v>
      </c>
      <c r="G69" s="35">
        <f>SUMIFS(WORKING!$AC$3:$AC$6802,WORKING!$A$3:$A$6802,Results!$D$3,WORKING!$B$3:$B$6802,Results!A69,WORKING!$C$3:$C$6802,Results!C69)/1000</f>
        <v>60917.684290000005</v>
      </c>
      <c r="H69" s="35">
        <f t="shared" si="60"/>
        <v>250.69005880658437</v>
      </c>
      <c r="I69" s="187">
        <v>379</v>
      </c>
      <c r="J69" s="212">
        <v>86703.33</v>
      </c>
      <c r="K69" s="217">
        <f t="shared" si="61"/>
        <v>228.76868073878629</v>
      </c>
      <c r="L69" s="34">
        <f t="shared" si="54"/>
        <v>379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248.74441306130953</v>
      </c>
      <c r="N69" s="57">
        <v>0</v>
      </c>
      <c r="O69" s="57">
        <v>0</v>
      </c>
      <c r="P69" s="61">
        <f t="shared" si="55"/>
        <v>379</v>
      </c>
      <c r="Q69" s="40">
        <f t="shared" si="62"/>
        <v>0</v>
      </c>
      <c r="R69" s="40">
        <f t="shared" si="63"/>
        <v>0</v>
      </c>
      <c r="S69" s="44">
        <f t="shared" si="64"/>
        <v>94274.132550236318</v>
      </c>
      <c r="T69" s="35">
        <f t="shared" si="65"/>
        <v>379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269.80703504081623</v>
      </c>
      <c r="V69" s="57">
        <v>0</v>
      </c>
      <c r="W69" s="57">
        <v>1</v>
      </c>
      <c r="X69" s="61">
        <f t="shared" si="56"/>
        <v>378</v>
      </c>
      <c r="Y69" s="40">
        <f t="shared" si="66"/>
        <v>0</v>
      </c>
      <c r="Z69" s="40">
        <f t="shared" si="67"/>
        <v>-269.80703504081623</v>
      </c>
      <c r="AA69" s="44">
        <f t="shared" si="68"/>
        <v>101987.05924542854</v>
      </c>
      <c r="AB69" s="35">
        <f t="shared" si="69"/>
        <v>378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292.37971551959288</v>
      </c>
      <c r="AD69" s="57">
        <v>0</v>
      </c>
      <c r="AE69" s="57">
        <v>30</v>
      </c>
      <c r="AF69" s="61">
        <f t="shared" si="57"/>
        <v>348</v>
      </c>
      <c r="AG69" s="40">
        <f t="shared" si="70"/>
        <v>0</v>
      </c>
      <c r="AH69" s="40">
        <f t="shared" si="71"/>
        <v>-8771.391465587787</v>
      </c>
      <c r="AI69" s="44">
        <f t="shared" si="72"/>
        <v>101748.14100081832</v>
      </c>
      <c r="AJ69" s="35">
        <f t="shared" si="58"/>
        <v>348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316.24825622907485</v>
      </c>
      <c r="AL69" s="57">
        <v>0</v>
      </c>
      <c r="AM69" s="57">
        <v>2</v>
      </c>
      <c r="AN69" s="61">
        <f t="shared" si="59"/>
        <v>346</v>
      </c>
      <c r="AO69" s="40">
        <f t="shared" si="73"/>
        <v>0</v>
      </c>
      <c r="AP69" s="40">
        <f t="shared" si="74"/>
        <v>-632.49651245814971</v>
      </c>
      <c r="AQ69" s="44">
        <f t="shared" si="75"/>
        <v>109421.8966552599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109</v>
      </c>
      <c r="G70" s="35">
        <f>SUMIFS(WORKING!$AC$3:$AC$6802,WORKING!$A$3:$A$6802,Results!$D$3,WORKING!$B$3:$B$6802,Results!A70,WORKING!$C$3:$C$6802,Results!C70)/1000</f>
        <v>31610.724219999996</v>
      </c>
      <c r="H70" s="35">
        <f t="shared" si="60"/>
        <v>290.00664422018343</v>
      </c>
      <c r="I70" s="187">
        <v>102</v>
      </c>
      <c r="J70" s="212">
        <v>29109.88</v>
      </c>
      <c r="K70" s="217">
        <f t="shared" si="61"/>
        <v>285.39098039215685</v>
      </c>
      <c r="L70" s="34">
        <f t="shared" si="54"/>
        <v>102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310.60591595192176</v>
      </c>
      <c r="N70" s="57">
        <v>0</v>
      </c>
      <c r="O70" s="57">
        <v>0</v>
      </c>
      <c r="P70" s="61">
        <f t="shared" si="55"/>
        <v>102</v>
      </c>
      <c r="Q70" s="40">
        <f t="shared" si="62"/>
        <v>0</v>
      </c>
      <c r="R70" s="40">
        <f t="shared" si="63"/>
        <v>0</v>
      </c>
      <c r="S70" s="44">
        <f t="shared" si="64"/>
        <v>31681.80342709602</v>
      </c>
      <c r="T70" s="35">
        <f t="shared" si="65"/>
        <v>102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336.99740687074592</v>
      </c>
      <c r="V70" s="57">
        <v>0</v>
      </c>
      <c r="W70" s="57">
        <v>1</v>
      </c>
      <c r="X70" s="61">
        <f t="shared" si="56"/>
        <v>101</v>
      </c>
      <c r="Y70" s="40">
        <f t="shared" si="66"/>
        <v>0</v>
      </c>
      <c r="Z70" s="40">
        <f t="shared" si="67"/>
        <v>-336.99740687074592</v>
      </c>
      <c r="AA70" s="44">
        <f t="shared" si="68"/>
        <v>34036.738093945336</v>
      </c>
      <c r="AB70" s="35">
        <f t="shared" si="69"/>
        <v>101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365.28972725413473</v>
      </c>
      <c r="AD70" s="57">
        <v>0</v>
      </c>
      <c r="AE70" s="57">
        <v>0</v>
      </c>
      <c r="AF70" s="61">
        <f t="shared" si="57"/>
        <v>101</v>
      </c>
      <c r="AG70" s="40">
        <f t="shared" si="70"/>
        <v>0</v>
      </c>
      <c r="AH70" s="40">
        <f t="shared" si="71"/>
        <v>0</v>
      </c>
      <c r="AI70" s="44">
        <f t="shared" si="72"/>
        <v>36894.262452667608</v>
      </c>
      <c r="AJ70" s="35">
        <f t="shared" si="58"/>
        <v>101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395.21675444683683</v>
      </c>
      <c r="AL70" s="57">
        <v>0</v>
      </c>
      <c r="AM70" s="57">
        <v>0</v>
      </c>
      <c r="AN70" s="61">
        <f t="shared" si="59"/>
        <v>101</v>
      </c>
      <c r="AO70" s="40">
        <f t="shared" si="73"/>
        <v>0</v>
      </c>
      <c r="AP70" s="40">
        <f t="shared" si="74"/>
        <v>0</v>
      </c>
      <c r="AQ70" s="44">
        <f t="shared" si="75"/>
        <v>39916.892199130518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136</v>
      </c>
      <c r="G71" s="35">
        <f>SUMIFS(WORKING!$AC$3:$AC$6802,WORKING!$A$3:$A$6802,Results!$D$3,WORKING!$B$3:$B$6802,Results!A71,WORKING!$C$3:$C$6802,Results!C71)/1000</f>
        <v>39667.241749999994</v>
      </c>
      <c r="H71" s="35">
        <f>IFERROR(G71/F71,0)</f>
        <v>291.67089522058819</v>
      </c>
      <c r="I71" s="187">
        <v>141</v>
      </c>
      <c r="J71" s="212">
        <v>49171.31</v>
      </c>
      <c r="K71" s="217">
        <f t="shared" si="61"/>
        <v>348.73269503546095</v>
      </c>
      <c r="L71" s="34">
        <f t="shared" si="54"/>
        <v>141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379.7234889032606</v>
      </c>
      <c r="N71" s="57">
        <v>0</v>
      </c>
      <c r="O71" s="57">
        <v>0</v>
      </c>
      <c r="P71" s="61">
        <f t="shared" si="55"/>
        <v>141</v>
      </c>
      <c r="Q71" s="40">
        <f t="shared" si="62"/>
        <v>0</v>
      </c>
      <c r="R71" s="40">
        <f t="shared" si="63"/>
        <v>0</v>
      </c>
      <c r="S71" s="44">
        <f t="shared" si="64"/>
        <v>53541.011935359747</v>
      </c>
      <c r="T71" s="35">
        <f t="shared" si="65"/>
        <v>141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412.04352612512685</v>
      </c>
      <c r="V71" s="57">
        <v>0</v>
      </c>
      <c r="W71" s="57">
        <v>0</v>
      </c>
      <c r="X71" s="61">
        <f t="shared" si="56"/>
        <v>141</v>
      </c>
      <c r="Y71" s="40">
        <f t="shared" si="66"/>
        <v>0</v>
      </c>
      <c r="Z71" s="40">
        <f t="shared" si="67"/>
        <v>0</v>
      </c>
      <c r="AA71" s="44">
        <f t="shared" si="68"/>
        <v>58098.137183642888</v>
      </c>
      <c r="AB71" s="35">
        <f t="shared" si="69"/>
        <v>141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446.69673699815206</v>
      </c>
      <c r="AD71" s="57">
        <v>0</v>
      </c>
      <c r="AE71" s="57">
        <v>10</v>
      </c>
      <c r="AF71" s="61">
        <f t="shared" si="57"/>
        <v>131</v>
      </c>
      <c r="AG71" s="40">
        <f t="shared" si="70"/>
        <v>0</v>
      </c>
      <c r="AH71" s="40">
        <f t="shared" si="71"/>
        <v>-4466.9673699815203</v>
      </c>
      <c r="AI71" s="44">
        <f t="shared" si="72"/>
        <v>58517.272546757922</v>
      </c>
      <c r="AJ71" s="35">
        <f t="shared" si="58"/>
        <v>131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483.35857762973245</v>
      </c>
      <c r="AL71" s="57">
        <v>0</v>
      </c>
      <c r="AM71" s="57">
        <v>0</v>
      </c>
      <c r="AN71" s="61">
        <f t="shared" si="59"/>
        <v>131</v>
      </c>
      <c r="AO71" s="40">
        <f t="shared" si="73"/>
        <v>0</v>
      </c>
      <c r="AP71" s="40">
        <f t="shared" si="74"/>
        <v>0</v>
      </c>
      <c r="AQ71" s="44">
        <f t="shared" si="75"/>
        <v>63319.973669494953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5</v>
      </c>
      <c r="G72" s="35">
        <f>SUMIFS(WORKING!$AC$3:$AC$6802,WORKING!$A$3:$A$6802,Results!$D$3,WORKING!$B$3:$B$6802,Results!A72,WORKING!$C$3:$C$6802,Results!C72)/1000</f>
        <v>1512.0920000000001</v>
      </c>
      <c r="H72" s="35">
        <f t="shared" si="60"/>
        <v>302.41840000000002</v>
      </c>
      <c r="I72" s="187">
        <v>5</v>
      </c>
      <c r="J72" s="212">
        <v>2268.84</v>
      </c>
      <c r="K72" s="217">
        <f>IFERROR(IF(J72="",G72,J72)/IF(I72="",F72,I72),"")</f>
        <v>453.76800000000003</v>
      </c>
      <c r="L72" s="34">
        <f t="shared" si="54"/>
        <v>5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494.98117115580175</v>
      </c>
      <c r="N72" s="57">
        <v>0</v>
      </c>
      <c r="O72" s="57">
        <v>0</v>
      </c>
      <c r="P72" s="61">
        <f t="shared" si="55"/>
        <v>5</v>
      </c>
      <c r="Q72" s="40">
        <f t="shared" si="62"/>
        <v>0</v>
      </c>
      <c r="R72" s="40">
        <f t="shared" si="63"/>
        <v>0</v>
      </c>
      <c r="S72" s="44">
        <f t="shared" si="64"/>
        <v>2474.9058557790086</v>
      </c>
      <c r="T72" s="35">
        <f t="shared" si="65"/>
        <v>5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537.38627335853437</v>
      </c>
      <c r="V72" s="57">
        <v>0</v>
      </c>
      <c r="W72" s="57">
        <v>0</v>
      </c>
      <c r="X72" s="61">
        <f t="shared" si="56"/>
        <v>5</v>
      </c>
      <c r="Y72" s="40">
        <f t="shared" si="66"/>
        <v>0</v>
      </c>
      <c r="Z72" s="40">
        <f t="shared" si="67"/>
        <v>0</v>
      </c>
      <c r="AA72" s="44">
        <f t="shared" si="68"/>
        <v>2686.9313667926717</v>
      </c>
      <c r="AB72" s="35">
        <f t="shared" si="69"/>
        <v>5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582.87911825889819</v>
      </c>
      <c r="AD72" s="57">
        <v>0</v>
      </c>
      <c r="AE72" s="57">
        <v>0</v>
      </c>
      <c r="AF72" s="61">
        <f t="shared" si="57"/>
        <v>5</v>
      </c>
      <c r="AG72" s="40">
        <f t="shared" si="70"/>
        <v>0</v>
      </c>
      <c r="AH72" s="40">
        <f t="shared" si="71"/>
        <v>0</v>
      </c>
      <c r="AI72" s="44">
        <f t="shared" si="72"/>
        <v>2914.3955912944912</v>
      </c>
      <c r="AJ72" s="35">
        <f t="shared" si="58"/>
        <v>5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631.04068558059328</v>
      </c>
      <c r="AL72" s="57">
        <v>0</v>
      </c>
      <c r="AM72" s="57">
        <v>0</v>
      </c>
      <c r="AN72" s="61">
        <f t="shared" si="59"/>
        <v>5</v>
      </c>
      <c r="AO72" s="40">
        <f t="shared" si="73"/>
        <v>0</v>
      </c>
      <c r="AP72" s="40">
        <f t="shared" si="74"/>
        <v>0</v>
      </c>
      <c r="AQ72" s="44">
        <f t="shared" si="75"/>
        <v>3155.2034279029663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113</v>
      </c>
      <c r="G73" s="35">
        <f>SUMIFS(WORKING!$AC$3:$AC$6802,WORKING!$A$3:$A$6802,Results!$D$3,WORKING!$B$3:$B$6802,Results!A73,WORKING!$C$3:$C$6802,Results!C73)/1000</f>
        <v>56901.267759999995</v>
      </c>
      <c r="H73" s="35">
        <f t="shared" si="60"/>
        <v>503.55104212389375</v>
      </c>
      <c r="I73" s="187">
        <v>120</v>
      </c>
      <c r="J73" s="212">
        <v>61593.45</v>
      </c>
      <c r="K73" s="217">
        <f t="shared" si="61"/>
        <v>513.27874999999995</v>
      </c>
      <c r="L73" s="34">
        <f t="shared" si="54"/>
        <v>120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559.43744203665381</v>
      </c>
      <c r="N73" s="57">
        <v>0</v>
      </c>
      <c r="O73" s="57">
        <v>0</v>
      </c>
      <c r="P73" s="61">
        <f t="shared" si="55"/>
        <v>120</v>
      </c>
      <c r="Q73" s="40">
        <f t="shared" si="62"/>
        <v>0</v>
      </c>
      <c r="R73" s="40">
        <f t="shared" si="63"/>
        <v>0</v>
      </c>
      <c r="S73" s="44">
        <f t="shared" si="64"/>
        <v>67132.493044398463</v>
      </c>
      <c r="T73" s="35">
        <f t="shared" si="65"/>
        <v>120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607.22313981066827</v>
      </c>
      <c r="V73" s="57">
        <v>0</v>
      </c>
      <c r="W73" s="57">
        <v>0</v>
      </c>
      <c r="X73" s="61">
        <f t="shared" si="56"/>
        <v>120</v>
      </c>
      <c r="Y73" s="40">
        <f t="shared" si="66"/>
        <v>0</v>
      </c>
      <c r="Z73" s="40">
        <f t="shared" si="67"/>
        <v>0</v>
      </c>
      <c r="AA73" s="44">
        <f t="shared" si="68"/>
        <v>72866.776777280189</v>
      </c>
      <c r="AB73" s="35">
        <f t="shared" si="69"/>
        <v>120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658.47475186109853</v>
      </c>
      <c r="AD73" s="57">
        <v>0</v>
      </c>
      <c r="AE73" s="57">
        <v>11</v>
      </c>
      <c r="AF73" s="61">
        <f t="shared" si="57"/>
        <v>109</v>
      </c>
      <c r="AG73" s="40">
        <f t="shared" si="70"/>
        <v>0</v>
      </c>
      <c r="AH73" s="40">
        <f t="shared" si="71"/>
        <v>-7243.2222704720834</v>
      </c>
      <c r="AI73" s="44">
        <f t="shared" si="72"/>
        <v>71773.747952859732</v>
      </c>
      <c r="AJ73" s="35">
        <f t="shared" si="58"/>
        <v>109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712.7165806052252</v>
      </c>
      <c r="AL73" s="57">
        <v>0</v>
      </c>
      <c r="AM73" s="57">
        <v>0</v>
      </c>
      <c r="AN73" s="61">
        <f t="shared" si="59"/>
        <v>109</v>
      </c>
      <c r="AO73" s="40">
        <f t="shared" si="73"/>
        <v>0</v>
      </c>
      <c r="AP73" s="40">
        <f t="shared" si="74"/>
        <v>0</v>
      </c>
      <c r="AQ73" s="44">
        <f t="shared" si="75"/>
        <v>77686.107285969541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37</v>
      </c>
      <c r="G74" s="35">
        <f>SUMIFS(WORKING!$AC$3:$AC$6802,WORKING!$A$3:$A$6802,Results!$D$3,WORKING!$B$3:$B$6802,Results!A74,WORKING!$C$3:$C$6802,Results!C74)/1000</f>
        <v>23462.06491999999</v>
      </c>
      <c r="H74" s="35">
        <f t="shared" si="60"/>
        <v>634.10986270270246</v>
      </c>
      <c r="I74" s="187">
        <v>32</v>
      </c>
      <c r="J74" s="212">
        <v>19035.41</v>
      </c>
      <c r="K74" s="217">
        <f t="shared" si="61"/>
        <v>594.8565625</v>
      </c>
      <c r="L74" s="34">
        <f t="shared" si="54"/>
        <v>32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649.38879857116956</v>
      </c>
      <c r="N74" s="57">
        <v>0</v>
      </c>
      <c r="O74" s="57">
        <v>0</v>
      </c>
      <c r="P74" s="61">
        <f t="shared" si="55"/>
        <v>32</v>
      </c>
      <c r="Q74" s="40">
        <f t="shared" si="62"/>
        <v>0</v>
      </c>
      <c r="R74" s="40">
        <f t="shared" si="63"/>
        <v>0</v>
      </c>
      <c r="S74" s="44">
        <f t="shared" si="64"/>
        <v>20780.441554277426</v>
      </c>
      <c r="T74" s="35">
        <f t="shared" si="65"/>
        <v>32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704.96707735918471</v>
      </c>
      <c r="V74" s="57">
        <v>0</v>
      </c>
      <c r="W74" s="57">
        <v>0</v>
      </c>
      <c r="X74" s="61">
        <f t="shared" si="56"/>
        <v>32</v>
      </c>
      <c r="Y74" s="40">
        <f t="shared" si="66"/>
        <v>0</v>
      </c>
      <c r="Z74" s="40">
        <f t="shared" si="67"/>
        <v>0</v>
      </c>
      <c r="AA74" s="44">
        <f t="shared" si="68"/>
        <v>22558.946475493911</v>
      </c>
      <c r="AB74" s="35">
        <f t="shared" si="69"/>
        <v>32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764.58681654202996</v>
      </c>
      <c r="AD74" s="57">
        <v>0</v>
      </c>
      <c r="AE74" s="57">
        <v>1</v>
      </c>
      <c r="AF74" s="61">
        <f t="shared" si="57"/>
        <v>31</v>
      </c>
      <c r="AG74" s="40">
        <f t="shared" si="70"/>
        <v>0</v>
      </c>
      <c r="AH74" s="40">
        <f t="shared" si="71"/>
        <v>-764.58681654202996</v>
      </c>
      <c r="AI74" s="44">
        <f t="shared" si="72"/>
        <v>23702.19131280293</v>
      </c>
      <c r="AJ74" s="35">
        <f t="shared" si="58"/>
        <v>31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827.69720658690017</v>
      </c>
      <c r="AL74" s="57">
        <v>0</v>
      </c>
      <c r="AM74" s="57">
        <v>0</v>
      </c>
      <c r="AN74" s="61">
        <f t="shared" si="59"/>
        <v>31</v>
      </c>
      <c r="AO74" s="40">
        <f t="shared" si="73"/>
        <v>0</v>
      </c>
      <c r="AP74" s="40">
        <f t="shared" si="74"/>
        <v>0</v>
      </c>
      <c r="AQ74" s="44">
        <f t="shared" si="75"/>
        <v>25658.613404193904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91</v>
      </c>
      <c r="G75" s="35">
        <f>SUMIFS(WORKING!$AC$3:$AC$6802,WORKING!$A$3:$A$6802,Results!$D$3,WORKING!$B$3:$B$6802,Results!A75,WORKING!$C$3:$C$6802,Results!C75)/1000</f>
        <v>67982.408049999998</v>
      </c>
      <c r="H75" s="35">
        <f t="shared" si="60"/>
        <v>747.05942912087914</v>
      </c>
      <c r="I75" s="187">
        <v>97</v>
      </c>
      <c r="J75" s="212">
        <v>67634.039999999994</v>
      </c>
      <c r="K75" s="217">
        <f t="shared" si="61"/>
        <v>697.25814432989682</v>
      </c>
      <c r="L75" s="34">
        <f t="shared" si="54"/>
        <v>97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761.30728033672756</v>
      </c>
      <c r="N75" s="57">
        <v>0</v>
      </c>
      <c r="O75" s="57">
        <v>0</v>
      </c>
      <c r="P75" s="61">
        <f t="shared" si="55"/>
        <v>97</v>
      </c>
      <c r="Q75" s="40">
        <f t="shared" si="62"/>
        <v>0</v>
      </c>
      <c r="R75" s="40">
        <f t="shared" si="63"/>
        <v>0</v>
      </c>
      <c r="S75" s="44">
        <f t="shared" si="64"/>
        <v>73846.806192662567</v>
      </c>
      <c r="T75" s="35">
        <f t="shared" si="65"/>
        <v>97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826.60471177401075</v>
      </c>
      <c r="V75" s="57">
        <v>0</v>
      </c>
      <c r="W75" s="57">
        <v>0</v>
      </c>
      <c r="X75" s="61">
        <f t="shared" si="56"/>
        <v>97</v>
      </c>
      <c r="Y75" s="40">
        <f t="shared" si="66"/>
        <v>0</v>
      </c>
      <c r="Z75" s="40">
        <f t="shared" si="67"/>
        <v>0</v>
      </c>
      <c r="AA75" s="44">
        <f t="shared" si="68"/>
        <v>80180.657042079038</v>
      </c>
      <c r="AB75" s="35">
        <f t="shared" si="69"/>
        <v>97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896.66392541530399</v>
      </c>
      <c r="AD75" s="57">
        <v>0</v>
      </c>
      <c r="AE75" s="57">
        <v>10</v>
      </c>
      <c r="AF75" s="61">
        <f t="shared" si="57"/>
        <v>87</v>
      </c>
      <c r="AG75" s="40">
        <f t="shared" si="70"/>
        <v>0</v>
      </c>
      <c r="AH75" s="40">
        <f t="shared" si="71"/>
        <v>-8966.6392541530404</v>
      </c>
      <c r="AI75" s="44">
        <f t="shared" si="72"/>
        <v>78009.761511131452</v>
      </c>
      <c r="AJ75" s="35">
        <f t="shared" si="58"/>
        <v>87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970.84127706789366</v>
      </c>
      <c r="AL75" s="57">
        <v>0</v>
      </c>
      <c r="AM75" s="57">
        <v>1</v>
      </c>
      <c r="AN75" s="61">
        <f t="shared" si="59"/>
        <v>86</v>
      </c>
      <c r="AO75" s="40">
        <f t="shared" si="73"/>
        <v>0</v>
      </c>
      <c r="AP75" s="40">
        <f t="shared" si="74"/>
        <v>-970.84127706789366</v>
      </c>
      <c r="AQ75" s="44">
        <f t="shared" si="75"/>
        <v>83492.349827838858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60</v>
      </c>
      <c r="G76" s="35">
        <f>SUMIFS(WORKING!$AC$3:$AC$6802,WORKING!$A$3:$A$6802,Results!$D$3,WORKING!$B$3:$B$6802,Results!A76,WORKING!$C$3:$C$6802,Results!C76)/1000</f>
        <v>54912.622060000009</v>
      </c>
      <c r="H76" s="35">
        <f t="shared" si="60"/>
        <v>915.2103676666668</v>
      </c>
      <c r="I76" s="187">
        <v>59</v>
      </c>
      <c r="J76" s="212">
        <v>53471.34</v>
      </c>
      <c r="K76" s="217">
        <f t="shared" si="61"/>
        <v>906.29389830508467</v>
      </c>
      <c r="L76" s="34">
        <f t="shared" si="54"/>
        <v>59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949.85014951257585</v>
      </c>
      <c r="N76" s="57">
        <v>0</v>
      </c>
      <c r="O76" s="57">
        <v>0</v>
      </c>
      <c r="P76" s="61">
        <f t="shared" si="55"/>
        <v>59</v>
      </c>
      <c r="Q76" s="40">
        <f t="shared" si="62"/>
        <v>0</v>
      </c>
      <c r="R76" s="40">
        <f t="shared" si="63"/>
        <v>0</v>
      </c>
      <c r="S76" s="44">
        <f t="shared" si="64"/>
        <v>56041.158821241974</v>
      </c>
      <c r="T76" s="35">
        <f t="shared" si="65"/>
        <v>59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1021.5195402756275</v>
      </c>
      <c r="V76" s="57">
        <v>0</v>
      </c>
      <c r="W76" s="57">
        <v>0</v>
      </c>
      <c r="X76" s="61">
        <f t="shared" si="56"/>
        <v>59</v>
      </c>
      <c r="Y76" s="40">
        <f t="shared" si="66"/>
        <v>0</v>
      </c>
      <c r="Z76" s="40">
        <f t="shared" si="67"/>
        <v>0</v>
      </c>
      <c r="AA76" s="44">
        <f t="shared" si="68"/>
        <v>60269.652876262022</v>
      </c>
      <c r="AB76" s="35">
        <f t="shared" si="69"/>
        <v>59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1097.5602158818144</v>
      </c>
      <c r="AD76" s="57">
        <v>0</v>
      </c>
      <c r="AE76" s="57">
        <v>11</v>
      </c>
      <c r="AF76" s="61">
        <f t="shared" si="57"/>
        <v>48</v>
      </c>
      <c r="AG76" s="40">
        <f t="shared" si="70"/>
        <v>0</v>
      </c>
      <c r="AH76" s="40">
        <f t="shared" si="71"/>
        <v>-12073.162374699959</v>
      </c>
      <c r="AI76" s="44">
        <f t="shared" si="72"/>
        <v>52682.890362327089</v>
      </c>
      <c r="AJ76" s="35">
        <f t="shared" si="58"/>
        <v>48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1177.0341448349893</v>
      </c>
      <c r="AL76" s="57">
        <v>0</v>
      </c>
      <c r="AM76" s="57">
        <v>1</v>
      </c>
      <c r="AN76" s="61">
        <f t="shared" si="59"/>
        <v>47</v>
      </c>
      <c r="AO76" s="40">
        <f t="shared" si="73"/>
        <v>0</v>
      </c>
      <c r="AP76" s="40">
        <f t="shared" si="74"/>
        <v>-1177.0341448349893</v>
      </c>
      <c r="AQ76" s="44">
        <f t="shared" si="75"/>
        <v>55320.604807244497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17</v>
      </c>
      <c r="G77" s="35">
        <f>SUMIFS(WORKING!$AC$3:$AC$6802,WORKING!$A$3:$A$6802,Results!$D$3,WORKING!$B$3:$B$6802,Results!A77,WORKING!$C$3:$C$6802,Results!C77)/1000</f>
        <v>19129.38798</v>
      </c>
      <c r="H77" s="35">
        <f t="shared" si="60"/>
        <v>1125.2581164705882</v>
      </c>
      <c r="I77" s="187">
        <v>19</v>
      </c>
      <c r="J77" s="212">
        <v>20862.419999999998</v>
      </c>
      <c r="K77" s="217">
        <f t="shared" si="61"/>
        <v>1098.0221052631578</v>
      </c>
      <c r="L77" s="34">
        <f t="shared" si="54"/>
        <v>19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1151.0320712372338</v>
      </c>
      <c r="N77" s="57">
        <v>0</v>
      </c>
      <c r="O77" s="57">
        <v>0</v>
      </c>
      <c r="P77" s="61">
        <f t="shared" si="55"/>
        <v>19</v>
      </c>
      <c r="Q77" s="40">
        <f t="shared" si="62"/>
        <v>0</v>
      </c>
      <c r="R77" s="40">
        <f t="shared" si="63"/>
        <v>0</v>
      </c>
      <c r="S77" s="44">
        <f t="shared" si="64"/>
        <v>21869.609353507443</v>
      </c>
      <c r="T77" s="35">
        <f t="shared" si="65"/>
        <v>19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1238.1387316775599</v>
      </c>
      <c r="V77" s="57">
        <v>0</v>
      </c>
      <c r="W77" s="57">
        <v>0</v>
      </c>
      <c r="X77" s="61">
        <f t="shared" si="56"/>
        <v>19</v>
      </c>
      <c r="Y77" s="40">
        <f t="shared" si="66"/>
        <v>0</v>
      </c>
      <c r="Z77" s="40">
        <f t="shared" si="67"/>
        <v>0</v>
      </c>
      <c r="AA77" s="44">
        <f t="shared" si="68"/>
        <v>23524.63590187364</v>
      </c>
      <c r="AB77" s="35">
        <f t="shared" si="69"/>
        <v>19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1330.5809130004727</v>
      </c>
      <c r="AD77" s="57">
        <v>0</v>
      </c>
      <c r="AE77" s="57">
        <v>1</v>
      </c>
      <c r="AF77" s="61">
        <f t="shared" si="57"/>
        <v>18</v>
      </c>
      <c r="AG77" s="40">
        <f t="shared" si="70"/>
        <v>0</v>
      </c>
      <c r="AH77" s="40">
        <f t="shared" si="71"/>
        <v>-1330.5809130004727</v>
      </c>
      <c r="AI77" s="44">
        <f t="shared" si="72"/>
        <v>23950.456434008509</v>
      </c>
      <c r="AJ77" s="35">
        <f t="shared" si="58"/>
        <v>18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1427.2245130062718</v>
      </c>
      <c r="AL77" s="57">
        <v>0</v>
      </c>
      <c r="AM77" s="57">
        <v>1</v>
      </c>
      <c r="AN77" s="61">
        <f t="shared" si="59"/>
        <v>17</v>
      </c>
      <c r="AO77" s="40">
        <f t="shared" si="73"/>
        <v>0</v>
      </c>
      <c r="AP77" s="40">
        <f t="shared" si="74"/>
        <v>-1427.2245130062718</v>
      </c>
      <c r="AQ77" s="44">
        <f t="shared" si="75"/>
        <v>24262.816721106621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8</v>
      </c>
      <c r="G78" s="35">
        <f>SUMIFS(WORKING!$AC$3:$AC$6802,WORKING!$A$3:$A$6802,Results!$D$3,WORKING!$B$3:$B$6802,Results!A78,WORKING!$C$3:$C$6802,Results!C78)/1000</f>
        <v>10631.868410000001</v>
      </c>
      <c r="H78" s="35">
        <f t="shared" si="60"/>
        <v>1328.9835512500001</v>
      </c>
      <c r="I78" s="187">
        <v>7</v>
      </c>
      <c r="J78" s="212">
        <v>9131.27</v>
      </c>
      <c r="K78" s="217">
        <f t="shared" si="61"/>
        <v>1304.467142857143</v>
      </c>
      <c r="L78" s="34">
        <f t="shared" si="54"/>
        <v>7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1367.5750117377577</v>
      </c>
      <c r="N78" s="57">
        <v>0</v>
      </c>
      <c r="O78" s="57">
        <v>0</v>
      </c>
      <c r="P78" s="61">
        <f t="shared" si="55"/>
        <v>7</v>
      </c>
      <c r="Q78" s="40">
        <f t="shared" si="62"/>
        <v>0</v>
      </c>
      <c r="R78" s="40">
        <f t="shared" si="63"/>
        <v>0</v>
      </c>
      <c r="S78" s="44">
        <f t="shared" si="64"/>
        <v>9573.025082164304</v>
      </c>
      <c r="T78" s="35">
        <f t="shared" si="65"/>
        <v>7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1471.2101512246581</v>
      </c>
      <c r="V78" s="57">
        <v>0</v>
      </c>
      <c r="W78" s="57">
        <v>0</v>
      </c>
      <c r="X78" s="61">
        <f t="shared" si="56"/>
        <v>7</v>
      </c>
      <c r="Y78" s="40">
        <f t="shared" si="66"/>
        <v>0</v>
      </c>
      <c r="Z78" s="40">
        <f t="shared" si="67"/>
        <v>0</v>
      </c>
      <c r="AA78" s="44">
        <f t="shared" si="68"/>
        <v>10298.471058572606</v>
      </c>
      <c r="AB78" s="35">
        <f t="shared" si="69"/>
        <v>7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1581.2056726411859</v>
      </c>
      <c r="AD78" s="57">
        <v>0</v>
      </c>
      <c r="AE78" s="57">
        <v>0</v>
      </c>
      <c r="AF78" s="61">
        <f t="shared" si="57"/>
        <v>7</v>
      </c>
      <c r="AG78" s="40">
        <f t="shared" si="70"/>
        <v>0</v>
      </c>
      <c r="AH78" s="40">
        <f t="shared" si="71"/>
        <v>0</v>
      </c>
      <c r="AI78" s="44">
        <f t="shared" si="72"/>
        <v>11068.4397084883</v>
      </c>
      <c r="AJ78" s="35">
        <f t="shared" si="58"/>
        <v>7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1696.2155560126951</v>
      </c>
      <c r="AL78" s="57">
        <v>0</v>
      </c>
      <c r="AM78" s="57">
        <v>0</v>
      </c>
      <c r="AN78" s="61">
        <f t="shared" si="59"/>
        <v>7</v>
      </c>
      <c r="AO78" s="40">
        <f t="shared" si="73"/>
        <v>0</v>
      </c>
      <c r="AP78" s="40">
        <f t="shared" si="74"/>
        <v>0</v>
      </c>
      <c r="AQ78" s="44">
        <f t="shared" si="75"/>
        <v>11873.508892088865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6293.4317200000005</v>
      </c>
      <c r="H79" s="35">
        <f t="shared" si="60"/>
        <v>2097.8105733333337</v>
      </c>
      <c r="I79" s="187">
        <v>3</v>
      </c>
      <c r="J79" s="212">
        <v>5844.94</v>
      </c>
      <c r="K79" s="217">
        <f t="shared" si="61"/>
        <v>1948.3133333333333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2042.2871346135964</v>
      </c>
      <c r="N79" s="57">
        <v>0</v>
      </c>
      <c r="O79" s="57">
        <v>0</v>
      </c>
      <c r="P79" s="61">
        <f t="shared" si="55"/>
        <v>3</v>
      </c>
      <c r="Q79" s="40">
        <f t="shared" si="62"/>
        <v>0</v>
      </c>
      <c r="R79" s="40">
        <f t="shared" si="63"/>
        <v>0</v>
      </c>
      <c r="S79" s="44">
        <f t="shared" si="64"/>
        <v>6126.8614038407895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2196.7485283896449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6590.2455851689347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2360.662937270743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7081.988811812229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2532.0171693602429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7596.051508080729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1238</v>
      </c>
      <c r="G84" s="41">
        <f>SUM(G64:G83)</f>
        <v>398833.78060999996</v>
      </c>
      <c r="H84" s="41">
        <f>IFERROR(G84/F84,0)</f>
        <v>322.15975816639735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1034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415601.51</v>
      </c>
      <c r="K84" s="41">
        <f>IFERROR(J84/I84,"")</f>
        <v>401.93569632495166</v>
      </c>
      <c r="L84" s="41">
        <f>SUM(L64:L83)</f>
        <v>1034</v>
      </c>
      <c r="M84" s="41">
        <f>IFERROR(S84/P84,0)</f>
        <v>434.27012114512377</v>
      </c>
      <c r="N84" s="41">
        <f t="shared" ref="N84:T84" si="98">SUM(N64:N83)</f>
        <v>0</v>
      </c>
      <c r="O84" s="41">
        <f t="shared" si="98"/>
        <v>0</v>
      </c>
      <c r="P84" s="41">
        <f t="shared" si="98"/>
        <v>1034</v>
      </c>
      <c r="Q84" s="41">
        <f t="shared" si="98"/>
        <v>0</v>
      </c>
      <c r="R84" s="41">
        <f t="shared" si="98"/>
        <v>0</v>
      </c>
      <c r="S84" s="45">
        <f t="shared" si="98"/>
        <v>449035.305264058</v>
      </c>
      <c r="T84" s="41">
        <f t="shared" si="98"/>
        <v>1034</v>
      </c>
      <c r="U84" s="41">
        <f>IFERROR(AA84/X84,0)</f>
        <v>470.9409484328832</v>
      </c>
      <c r="V84" s="41">
        <f t="shared" ref="V84:AB84" si="99">SUM(V64:V83)</f>
        <v>0</v>
      </c>
      <c r="W84" s="41">
        <f t="shared" si="99"/>
        <v>3</v>
      </c>
      <c r="X84" s="41">
        <f t="shared" si="99"/>
        <v>1031</v>
      </c>
      <c r="Y84" s="41">
        <f t="shared" si="99"/>
        <v>0</v>
      </c>
      <c r="Z84" s="41">
        <f t="shared" si="99"/>
        <v>-841.04592349884604</v>
      </c>
      <c r="AA84" s="45">
        <f t="shared" si="99"/>
        <v>485540.1178343026</v>
      </c>
      <c r="AB84" s="41">
        <f t="shared" si="99"/>
        <v>1031</v>
      </c>
      <c r="AC84" s="41">
        <f>IFERROR(AI84/AF84,0)</f>
        <v>505.75013645211169</v>
      </c>
      <c r="AD84" s="41">
        <f t="shared" ref="AD84:AJ84" si="100">SUM(AD64:AD83)</f>
        <v>0</v>
      </c>
      <c r="AE84" s="41">
        <f t="shared" si="100"/>
        <v>81</v>
      </c>
      <c r="AF84" s="41">
        <f t="shared" si="100"/>
        <v>950</v>
      </c>
      <c r="AG84" s="41">
        <f t="shared" si="100"/>
        <v>0</v>
      </c>
      <c r="AH84" s="41">
        <f t="shared" si="100"/>
        <v>-44972.622712173012</v>
      </c>
      <c r="AI84" s="45">
        <f t="shared" si="100"/>
        <v>480462.62962950609</v>
      </c>
      <c r="AJ84" s="41">
        <f t="shared" si="100"/>
        <v>950</v>
      </c>
      <c r="AK84" s="41">
        <f>IFERROR(AQ84/AN84,0)</f>
        <v>544.76724994020947</v>
      </c>
      <c r="AL84" s="41">
        <f t="shared" ref="AL84:AQ84" si="101">SUM(AL64:AL83)</f>
        <v>0</v>
      </c>
      <c r="AM84" s="41">
        <f t="shared" si="101"/>
        <v>5</v>
      </c>
      <c r="AN84" s="41">
        <f t="shared" si="101"/>
        <v>945</v>
      </c>
      <c r="AO84" s="41">
        <f t="shared" si="101"/>
        <v>0</v>
      </c>
      <c r="AP84" s="41">
        <f t="shared" si="101"/>
        <v>-4207.5964473673048</v>
      </c>
      <c r="AQ84" s="45">
        <f t="shared" si="101"/>
        <v>514805.05119349796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575153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590638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609633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655965.10800000001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126117.694735942</v>
      </c>
      <c r="T86" s="39"/>
      <c r="U86" s="39"/>
      <c r="V86" s="53"/>
      <c r="W86" s="53"/>
      <c r="X86" s="110"/>
      <c r="Y86" s="39"/>
      <c r="Z86" s="39"/>
      <c r="AA86" s="54">
        <f>AA85-AA84</f>
        <v>105097.8821656974</v>
      </c>
      <c r="AB86" s="39"/>
      <c r="AC86" s="53"/>
      <c r="AD86" s="53"/>
      <c r="AE86" s="110"/>
      <c r="AF86" s="39"/>
      <c r="AG86" s="39"/>
      <c r="AH86" s="39"/>
      <c r="AI86" s="54">
        <f>AI85-AI84</f>
        <v>129170.37037049391</v>
      </c>
      <c r="AJ86" s="53"/>
      <c r="AK86" s="53"/>
      <c r="AL86" s="110"/>
      <c r="AM86" s="110"/>
      <c r="AN86" s="110"/>
      <c r="AO86" s="110"/>
      <c r="AP86" s="111"/>
      <c r="AQ86" s="54">
        <f>AQ85-AQ84</f>
        <v>141160.05680650205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Citizen Affairs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71</v>
      </c>
      <c r="G92" s="35">
        <f>SUMIFS(WORKING!$AC$3:$AC$6802,WORKING!$A$3:$A$6802,Results!$D$3,WORKING!$B$3:$B$6802,Results!A92,WORKING!$C$3:$C$6802,Results!C92)/1000</f>
        <v>974.09587999999997</v>
      </c>
      <c r="H92" s="35">
        <f>IFERROR(G92/F92,0)</f>
        <v>13.719660281690141</v>
      </c>
      <c r="I92" s="156">
        <v>0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14.98378978004507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16.273144890617946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17.65693176639164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19.122545387660978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395</v>
      </c>
      <c r="G94" s="35">
        <f>SUMIFS(WORKING!$AC$3:$AC$6802,WORKING!$A$3:$A$6802,Results!$D$3,WORKING!$B$3:$B$6802,Results!A94,WORKING!$C$3:$C$6802,Results!C94)/1000</f>
        <v>57985.751549999994</v>
      </c>
      <c r="H94" s="35">
        <f t="shared" si="108"/>
        <v>146.79937101265821</v>
      </c>
      <c r="I94" s="187">
        <v>307</v>
      </c>
      <c r="J94" s="212">
        <v>41931.1</v>
      </c>
      <c r="K94" s="217">
        <f t="shared" si="109"/>
        <v>136.58338762214984</v>
      </c>
      <c r="L94" s="34">
        <f t="shared" si="102"/>
        <v>307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148.13500855286057</v>
      </c>
      <c r="N94" s="57">
        <v>0</v>
      </c>
      <c r="O94" s="57">
        <v>4</v>
      </c>
      <c r="P94" s="61">
        <f t="shared" si="103"/>
        <v>303</v>
      </c>
      <c r="Q94" s="40">
        <f t="shared" si="110"/>
        <v>0</v>
      </c>
      <c r="R94" s="40">
        <f t="shared" si="111"/>
        <v>-592.54003421144228</v>
      </c>
      <c r="S94" s="44">
        <f t="shared" si="112"/>
        <v>44884.907591516756</v>
      </c>
      <c r="T94" s="35">
        <f t="shared" si="113"/>
        <v>303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160.56249939217153</v>
      </c>
      <c r="V94" s="57">
        <v>0</v>
      </c>
      <c r="W94" s="57">
        <v>3</v>
      </c>
      <c r="X94" s="61">
        <f t="shared" si="104"/>
        <v>300</v>
      </c>
      <c r="Y94" s="40">
        <f t="shared" si="114"/>
        <v>0</v>
      </c>
      <c r="Z94" s="40">
        <f t="shared" si="115"/>
        <v>-481.68749817651462</v>
      </c>
      <c r="AA94" s="44">
        <f t="shared" si="116"/>
        <v>48168.749817651456</v>
      </c>
      <c r="AB94" s="35">
        <f t="shared" si="117"/>
        <v>300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173.86998330714718</v>
      </c>
      <c r="AD94" s="57">
        <v>0</v>
      </c>
      <c r="AE94" s="57">
        <v>22</v>
      </c>
      <c r="AF94" s="61">
        <f t="shared" si="105"/>
        <v>278</v>
      </c>
      <c r="AG94" s="40">
        <f t="shared" si="118"/>
        <v>0</v>
      </c>
      <c r="AH94" s="40">
        <f t="shared" si="119"/>
        <v>-3825.1396327572379</v>
      </c>
      <c r="AI94" s="44">
        <f t="shared" si="120"/>
        <v>48335.855359386915</v>
      </c>
      <c r="AJ94" s="35">
        <f t="shared" si="106"/>
        <v>278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187.92827340743932</v>
      </c>
      <c r="AL94" s="57">
        <v>0</v>
      </c>
      <c r="AM94" s="57">
        <v>6</v>
      </c>
      <c r="AN94" s="61">
        <f t="shared" si="107"/>
        <v>272</v>
      </c>
      <c r="AO94" s="40">
        <f t="shared" si="121"/>
        <v>0</v>
      </c>
      <c r="AP94" s="40">
        <f t="shared" si="122"/>
        <v>-1127.569640444636</v>
      </c>
      <c r="AQ94" s="44">
        <f t="shared" si="123"/>
        <v>51116.490366823498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1</v>
      </c>
      <c r="G95" s="35">
        <f>SUMIFS(WORKING!$AC$3:$AC$6802,WORKING!$A$3:$A$6802,Results!$D$3,WORKING!$B$3:$B$6802,Results!A95,WORKING!$C$3:$C$6802,Results!C95)/1000</f>
        <v>179.42414000000002</v>
      </c>
      <c r="H95" s="35">
        <f t="shared" si="108"/>
        <v>179.42414000000002</v>
      </c>
      <c r="I95" s="187">
        <v>1</v>
      </c>
      <c r="J95" s="212">
        <v>178.71</v>
      </c>
      <c r="K95" s="217">
        <f t="shared" si="109"/>
        <v>178.71</v>
      </c>
      <c r="L95" s="34">
        <f t="shared" si="102"/>
        <v>1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193.89929660510865</v>
      </c>
      <c r="N95" s="57">
        <v>0</v>
      </c>
      <c r="O95" s="57">
        <v>0</v>
      </c>
      <c r="P95" s="61">
        <f t="shared" si="103"/>
        <v>1</v>
      </c>
      <c r="Q95" s="40">
        <f t="shared" si="110"/>
        <v>0</v>
      </c>
      <c r="R95" s="40">
        <f t="shared" si="111"/>
        <v>0</v>
      </c>
      <c r="S95" s="44">
        <f t="shared" si="112"/>
        <v>193.89929660510865</v>
      </c>
      <c r="T95" s="35">
        <f t="shared" si="113"/>
        <v>1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210.18982254586001</v>
      </c>
      <c r="V95" s="57">
        <v>0</v>
      </c>
      <c r="W95" s="57">
        <v>0</v>
      </c>
      <c r="X95" s="61">
        <f t="shared" si="104"/>
        <v>1</v>
      </c>
      <c r="Y95" s="40">
        <f t="shared" si="114"/>
        <v>0</v>
      </c>
      <c r="Z95" s="40">
        <f t="shared" si="115"/>
        <v>0</v>
      </c>
      <c r="AA95" s="44">
        <f t="shared" si="116"/>
        <v>210.18982254586001</v>
      </c>
      <c r="AB95" s="35">
        <f t="shared" si="117"/>
        <v>1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227.63611315467057</v>
      </c>
      <c r="AD95" s="57">
        <v>0</v>
      </c>
      <c r="AE95" s="57">
        <v>0</v>
      </c>
      <c r="AF95" s="61">
        <f t="shared" si="105"/>
        <v>1</v>
      </c>
      <c r="AG95" s="40">
        <f t="shared" si="118"/>
        <v>0</v>
      </c>
      <c r="AH95" s="40">
        <f t="shared" si="119"/>
        <v>0</v>
      </c>
      <c r="AI95" s="44">
        <f t="shared" si="120"/>
        <v>227.63611315467057</v>
      </c>
      <c r="AJ95" s="35">
        <f t="shared" si="106"/>
        <v>1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246.06936884611801</v>
      </c>
      <c r="AL95" s="57">
        <v>0</v>
      </c>
      <c r="AM95" s="57">
        <v>0</v>
      </c>
      <c r="AN95" s="61">
        <f t="shared" si="107"/>
        <v>1</v>
      </c>
      <c r="AO95" s="40">
        <f t="shared" si="121"/>
        <v>0</v>
      </c>
      <c r="AP95" s="40">
        <f t="shared" si="122"/>
        <v>0</v>
      </c>
      <c r="AQ95" s="44">
        <f t="shared" si="123"/>
        <v>246.06936884611801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234</v>
      </c>
      <c r="G96" s="35">
        <f>SUMIFS(WORKING!$AC$3:$AC$6802,WORKING!$A$3:$A$6802,Results!$D$3,WORKING!$B$3:$B$6802,Results!A96,WORKING!$C$3:$C$6802,Results!C96)/1000</f>
        <v>48737.376730000004</v>
      </c>
      <c r="H96" s="35">
        <f t="shared" si="108"/>
        <v>208.27938773504275</v>
      </c>
      <c r="I96" s="187">
        <v>165</v>
      </c>
      <c r="J96" s="212">
        <v>33069.17</v>
      </c>
      <c r="K96" s="217">
        <f t="shared" si="109"/>
        <v>200.4192121212121</v>
      </c>
      <c r="L96" s="34">
        <f t="shared" si="102"/>
        <v>165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217.80065212804058</v>
      </c>
      <c r="N96" s="57">
        <v>0</v>
      </c>
      <c r="O96" s="57">
        <v>0</v>
      </c>
      <c r="P96" s="61">
        <f t="shared" si="103"/>
        <v>165</v>
      </c>
      <c r="Q96" s="40">
        <f t="shared" si="110"/>
        <v>0</v>
      </c>
      <c r="R96" s="40">
        <f t="shared" si="111"/>
        <v>0</v>
      </c>
      <c r="S96" s="44">
        <f t="shared" si="112"/>
        <v>35937.1076011267</v>
      </c>
      <c r="T96" s="35">
        <f t="shared" si="113"/>
        <v>165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236.20565418083061</v>
      </c>
      <c r="V96" s="57">
        <v>0</v>
      </c>
      <c r="W96" s="57">
        <v>2</v>
      </c>
      <c r="X96" s="61">
        <f t="shared" si="104"/>
        <v>163</v>
      </c>
      <c r="Y96" s="40">
        <f t="shared" si="114"/>
        <v>0</v>
      </c>
      <c r="Z96" s="40">
        <f t="shared" si="115"/>
        <v>-472.41130836166121</v>
      </c>
      <c r="AA96" s="44">
        <f t="shared" si="116"/>
        <v>38501.521631475392</v>
      </c>
      <c r="AB96" s="35">
        <f t="shared" si="117"/>
        <v>163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255.92663792799715</v>
      </c>
      <c r="AD96" s="57">
        <v>0</v>
      </c>
      <c r="AE96" s="57">
        <v>16</v>
      </c>
      <c r="AF96" s="61">
        <f t="shared" si="105"/>
        <v>147</v>
      </c>
      <c r="AG96" s="40">
        <f t="shared" si="118"/>
        <v>0</v>
      </c>
      <c r="AH96" s="40">
        <f t="shared" si="119"/>
        <v>-4094.8262068479544</v>
      </c>
      <c r="AI96" s="44">
        <f t="shared" si="120"/>
        <v>37621.215775415578</v>
      </c>
      <c r="AJ96" s="35">
        <f t="shared" si="106"/>
        <v>147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276.77555524844985</v>
      </c>
      <c r="AL96" s="57">
        <v>0</v>
      </c>
      <c r="AM96" s="57">
        <v>1</v>
      </c>
      <c r="AN96" s="61">
        <f t="shared" si="107"/>
        <v>146</v>
      </c>
      <c r="AO96" s="40">
        <f t="shared" si="121"/>
        <v>0</v>
      </c>
      <c r="AP96" s="40">
        <f t="shared" si="122"/>
        <v>-276.77555524844985</v>
      </c>
      <c r="AQ96" s="44">
        <f t="shared" si="123"/>
        <v>40409.231066273678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4723</v>
      </c>
      <c r="G97" s="35">
        <f>SUMIFS(WORKING!$AC$3:$AC$6802,WORKING!$A$3:$A$6802,Results!$D$3,WORKING!$B$3:$B$6802,Results!A97,WORKING!$C$3:$C$6802,Results!C97)/1000</f>
        <v>1128674.25801</v>
      </c>
      <c r="H97" s="35">
        <f t="shared" si="108"/>
        <v>238.97401185898792</v>
      </c>
      <c r="I97" s="187">
        <v>4498</v>
      </c>
      <c r="J97" s="212">
        <v>1056582.6100000001</v>
      </c>
      <c r="K97" s="217">
        <f t="shared" si="109"/>
        <v>234.90053579368612</v>
      </c>
      <c r="L97" s="34">
        <f t="shared" si="102"/>
        <v>4498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255.4199567351944</v>
      </c>
      <c r="N97" s="57">
        <v>0</v>
      </c>
      <c r="O97" s="57">
        <v>14</v>
      </c>
      <c r="P97" s="61">
        <f t="shared" si="103"/>
        <v>4484</v>
      </c>
      <c r="Q97" s="40">
        <f t="shared" si="110"/>
        <v>0</v>
      </c>
      <c r="R97" s="40">
        <f t="shared" si="111"/>
        <v>-3575.8793942927218</v>
      </c>
      <c r="S97" s="44">
        <f t="shared" si="112"/>
        <v>1145303.0860006118</v>
      </c>
      <c r="T97" s="35">
        <f t="shared" si="113"/>
        <v>4484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277.04980076101691</v>
      </c>
      <c r="V97" s="57">
        <v>0</v>
      </c>
      <c r="W97" s="57">
        <v>12</v>
      </c>
      <c r="X97" s="61">
        <f t="shared" si="104"/>
        <v>4472</v>
      </c>
      <c r="Y97" s="40">
        <f t="shared" si="114"/>
        <v>0</v>
      </c>
      <c r="Z97" s="40">
        <f t="shared" si="115"/>
        <v>-3324.5976091322027</v>
      </c>
      <c r="AA97" s="44">
        <f t="shared" si="116"/>
        <v>1238966.7090032676</v>
      </c>
      <c r="AB97" s="35">
        <f t="shared" si="117"/>
        <v>4472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300.23058486223283</v>
      </c>
      <c r="AD97" s="57">
        <v>0</v>
      </c>
      <c r="AE97" s="57">
        <v>42</v>
      </c>
      <c r="AF97" s="61">
        <f t="shared" si="105"/>
        <v>4430</v>
      </c>
      <c r="AG97" s="40">
        <f t="shared" si="118"/>
        <v>0</v>
      </c>
      <c r="AH97" s="40">
        <f t="shared" si="119"/>
        <v>-12609.68456421378</v>
      </c>
      <c r="AI97" s="44">
        <f t="shared" si="120"/>
        <v>1330021.4909396914</v>
      </c>
      <c r="AJ97" s="35">
        <f t="shared" si="106"/>
        <v>4430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324.74242709148569</v>
      </c>
      <c r="AL97" s="57">
        <v>0</v>
      </c>
      <c r="AM97" s="57">
        <v>12</v>
      </c>
      <c r="AN97" s="61">
        <f t="shared" si="107"/>
        <v>4418</v>
      </c>
      <c r="AO97" s="40">
        <f t="shared" si="121"/>
        <v>0</v>
      </c>
      <c r="AP97" s="40">
        <f t="shared" si="122"/>
        <v>-3896.9091250978281</v>
      </c>
      <c r="AQ97" s="44">
        <f t="shared" si="123"/>
        <v>1434712.0428901839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1003</v>
      </c>
      <c r="G98" s="35">
        <f>SUMIFS(WORKING!$AC$3:$AC$6802,WORKING!$A$3:$A$6802,Results!$D$3,WORKING!$B$3:$B$6802,Results!A98,WORKING!$C$3:$C$6802,Results!C98)/1000</f>
        <v>278268.65300999995</v>
      </c>
      <c r="H98" s="35">
        <f t="shared" si="108"/>
        <v>277.43634397806574</v>
      </c>
      <c r="I98" s="187">
        <v>687</v>
      </c>
      <c r="J98" s="212">
        <v>199885.79</v>
      </c>
      <c r="K98" s="217">
        <f t="shared" si="109"/>
        <v>290.95457059679768</v>
      </c>
      <c r="L98" s="34">
        <f t="shared" si="102"/>
        <v>687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316.59643281319865</v>
      </c>
      <c r="N98" s="57">
        <v>0</v>
      </c>
      <c r="O98" s="57">
        <v>18</v>
      </c>
      <c r="P98" s="61">
        <f t="shared" si="103"/>
        <v>669</v>
      </c>
      <c r="Q98" s="40">
        <f t="shared" si="110"/>
        <v>0</v>
      </c>
      <c r="R98" s="40">
        <f t="shared" si="111"/>
        <v>-5698.7357906375755</v>
      </c>
      <c r="S98" s="44">
        <f t="shared" si="112"/>
        <v>211803.01355202991</v>
      </c>
      <c r="T98" s="35">
        <f t="shared" si="113"/>
        <v>669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343.47686334459684</v>
      </c>
      <c r="V98" s="57">
        <v>0</v>
      </c>
      <c r="W98" s="57">
        <v>0</v>
      </c>
      <c r="X98" s="61">
        <f t="shared" si="104"/>
        <v>669</v>
      </c>
      <c r="Y98" s="40">
        <f t="shared" si="114"/>
        <v>0</v>
      </c>
      <c r="Z98" s="40">
        <f t="shared" si="115"/>
        <v>0</v>
      </c>
      <c r="AA98" s="44">
        <f t="shared" si="116"/>
        <v>229786.02157753528</v>
      </c>
      <c r="AB98" s="35">
        <f t="shared" si="117"/>
        <v>669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372.29142145559069</v>
      </c>
      <c r="AD98" s="57">
        <v>0</v>
      </c>
      <c r="AE98" s="57">
        <v>23</v>
      </c>
      <c r="AF98" s="61">
        <f t="shared" si="105"/>
        <v>646</v>
      </c>
      <c r="AG98" s="40">
        <f t="shared" si="118"/>
        <v>0</v>
      </c>
      <c r="AH98" s="40">
        <f t="shared" si="119"/>
        <v>-8562.7026934785863</v>
      </c>
      <c r="AI98" s="44">
        <f t="shared" si="120"/>
        <v>240500.25826031159</v>
      </c>
      <c r="AJ98" s="35">
        <f t="shared" si="106"/>
        <v>646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402.76856673740343</v>
      </c>
      <c r="AL98" s="57">
        <v>0</v>
      </c>
      <c r="AM98" s="57">
        <v>5</v>
      </c>
      <c r="AN98" s="61">
        <f t="shared" si="107"/>
        <v>641</v>
      </c>
      <c r="AO98" s="40">
        <f t="shared" si="121"/>
        <v>0</v>
      </c>
      <c r="AP98" s="40">
        <f t="shared" si="122"/>
        <v>-2013.8428336870172</v>
      </c>
      <c r="AQ98" s="44">
        <f t="shared" si="123"/>
        <v>258174.65127867559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887</v>
      </c>
      <c r="G99" s="35">
        <f>SUMIFS(WORKING!$AC$3:$AC$6802,WORKING!$A$3:$A$6802,Results!$D$3,WORKING!$B$3:$B$6802,Results!A99,WORKING!$C$3:$C$6802,Results!C99)/1000</f>
        <v>308697.49037999997</v>
      </c>
      <c r="H99" s="35">
        <f t="shared" si="108"/>
        <v>348.02422816234497</v>
      </c>
      <c r="I99" s="187">
        <v>699</v>
      </c>
      <c r="J99" s="212">
        <v>251040.14</v>
      </c>
      <c r="K99" s="217">
        <f t="shared" si="109"/>
        <v>359.14183118741062</v>
      </c>
      <c r="L99" s="34">
        <f t="shared" si="102"/>
        <v>699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391.10835607167638</v>
      </c>
      <c r="N99" s="57">
        <v>0</v>
      </c>
      <c r="O99" s="57">
        <v>30</v>
      </c>
      <c r="P99" s="61">
        <f t="shared" si="103"/>
        <v>669</v>
      </c>
      <c r="Q99" s="40">
        <f t="shared" si="110"/>
        <v>0</v>
      </c>
      <c r="R99" s="40">
        <f t="shared" si="111"/>
        <v>-11733.250682150292</v>
      </c>
      <c r="S99" s="44">
        <f t="shared" si="112"/>
        <v>261651.49021195149</v>
      </c>
      <c r="T99" s="35">
        <f t="shared" si="113"/>
        <v>669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424.41307739083481</v>
      </c>
      <c r="V99" s="57">
        <v>0</v>
      </c>
      <c r="W99" s="57">
        <v>1</v>
      </c>
      <c r="X99" s="61">
        <f t="shared" si="104"/>
        <v>668</v>
      </c>
      <c r="Y99" s="40">
        <f t="shared" si="114"/>
        <v>0</v>
      </c>
      <c r="Z99" s="40">
        <f t="shared" si="115"/>
        <v>-424.41307739083481</v>
      </c>
      <c r="AA99" s="44">
        <f t="shared" si="116"/>
        <v>283507.93569707766</v>
      </c>
      <c r="AB99" s="35">
        <f t="shared" si="117"/>
        <v>668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460.12356110122266</v>
      </c>
      <c r="AD99" s="57">
        <v>0</v>
      </c>
      <c r="AE99" s="57">
        <v>30</v>
      </c>
      <c r="AF99" s="61">
        <f t="shared" si="105"/>
        <v>638</v>
      </c>
      <c r="AG99" s="40">
        <f t="shared" si="118"/>
        <v>0</v>
      </c>
      <c r="AH99" s="40">
        <f t="shared" si="119"/>
        <v>-13803.70683303668</v>
      </c>
      <c r="AI99" s="44">
        <f t="shared" si="120"/>
        <v>293558.83198258007</v>
      </c>
      <c r="AJ99" s="35">
        <f t="shared" si="106"/>
        <v>638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497.90576214159256</v>
      </c>
      <c r="AL99" s="57">
        <v>0</v>
      </c>
      <c r="AM99" s="57">
        <v>1</v>
      </c>
      <c r="AN99" s="61">
        <f t="shared" si="107"/>
        <v>637</v>
      </c>
      <c r="AO99" s="40">
        <f t="shared" si="121"/>
        <v>0</v>
      </c>
      <c r="AP99" s="40">
        <f t="shared" si="122"/>
        <v>-497.90576214159256</v>
      </c>
      <c r="AQ99" s="44">
        <f t="shared" si="123"/>
        <v>317165.97048419446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32</v>
      </c>
      <c r="G100" s="35">
        <f>SUMIFS(WORKING!$AC$3:$AC$6802,WORKING!$A$3:$A$6802,Results!$D$3,WORKING!$B$3:$B$6802,Results!A100,WORKING!$C$3:$C$6802,Results!C100)/1000</f>
        <v>12592.437350000002</v>
      </c>
      <c r="H100" s="35">
        <f t="shared" si="108"/>
        <v>393.51366718750006</v>
      </c>
      <c r="I100" s="187">
        <v>31</v>
      </c>
      <c r="J100" s="212">
        <v>12683.81</v>
      </c>
      <c r="K100" s="217">
        <f t="shared" si="109"/>
        <v>409.15516129032255</v>
      </c>
      <c r="L100" s="34">
        <f t="shared" si="102"/>
        <v>31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445.70745336562851</v>
      </c>
      <c r="N100" s="57">
        <v>0</v>
      </c>
      <c r="O100" s="57">
        <v>0</v>
      </c>
      <c r="P100" s="61">
        <f t="shared" si="103"/>
        <v>31</v>
      </c>
      <c r="Q100" s="40">
        <f t="shared" si="110"/>
        <v>0</v>
      </c>
      <c r="R100" s="40">
        <f t="shared" si="111"/>
        <v>0</v>
      </c>
      <c r="S100" s="44">
        <f t="shared" si="112"/>
        <v>13816.931054334484</v>
      </c>
      <c r="T100" s="35">
        <f t="shared" si="113"/>
        <v>31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483.70347626138528</v>
      </c>
      <c r="V100" s="57">
        <v>0</v>
      </c>
      <c r="W100" s="57">
        <v>0</v>
      </c>
      <c r="X100" s="61">
        <f t="shared" si="104"/>
        <v>31</v>
      </c>
      <c r="Y100" s="40">
        <f t="shared" si="114"/>
        <v>0</v>
      </c>
      <c r="Z100" s="40">
        <f t="shared" si="115"/>
        <v>0</v>
      </c>
      <c r="AA100" s="44">
        <f t="shared" si="116"/>
        <v>14994.807764102943</v>
      </c>
      <c r="AB100" s="35">
        <f t="shared" si="117"/>
        <v>31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524.44814650899229</v>
      </c>
      <c r="AD100" s="57">
        <v>0</v>
      </c>
      <c r="AE100" s="57">
        <v>1</v>
      </c>
      <c r="AF100" s="61">
        <f t="shared" si="105"/>
        <v>30</v>
      </c>
      <c r="AG100" s="40">
        <f t="shared" si="118"/>
        <v>0</v>
      </c>
      <c r="AH100" s="40">
        <f t="shared" si="119"/>
        <v>-524.44814650899229</v>
      </c>
      <c r="AI100" s="44">
        <f t="shared" si="120"/>
        <v>15733.444395269769</v>
      </c>
      <c r="AJ100" s="35">
        <f t="shared" si="106"/>
        <v>30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567.56137182210216</v>
      </c>
      <c r="AL100" s="57">
        <v>0</v>
      </c>
      <c r="AM100" s="57">
        <v>0</v>
      </c>
      <c r="AN100" s="61">
        <f t="shared" si="107"/>
        <v>30</v>
      </c>
      <c r="AO100" s="40">
        <f t="shared" si="121"/>
        <v>0</v>
      </c>
      <c r="AP100" s="40">
        <f t="shared" si="122"/>
        <v>0</v>
      </c>
      <c r="AQ100" s="44">
        <f t="shared" si="123"/>
        <v>17026.841154663063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310</v>
      </c>
      <c r="G101" s="35">
        <f>SUMIFS(WORKING!$AC$3:$AC$6802,WORKING!$A$3:$A$6802,Results!$D$3,WORKING!$B$3:$B$6802,Results!A101,WORKING!$C$3:$C$6802,Results!C101)/1000</f>
        <v>145865.44263000001</v>
      </c>
      <c r="H101" s="35">
        <f t="shared" si="108"/>
        <v>470.53368590322583</v>
      </c>
      <c r="I101" s="187">
        <v>287</v>
      </c>
      <c r="J101" s="212">
        <v>148275.79</v>
      </c>
      <c r="K101" s="217">
        <f t="shared" si="109"/>
        <v>516.64038327526134</v>
      </c>
      <c r="L101" s="34">
        <f t="shared" si="102"/>
        <v>287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563.1212137919639</v>
      </c>
      <c r="N101" s="57">
        <v>0</v>
      </c>
      <c r="O101" s="57">
        <v>15</v>
      </c>
      <c r="P101" s="61">
        <f t="shared" si="103"/>
        <v>272</v>
      </c>
      <c r="Q101" s="40">
        <f t="shared" si="110"/>
        <v>0</v>
      </c>
      <c r="R101" s="40">
        <f t="shared" si="111"/>
        <v>-8446.8182068794576</v>
      </c>
      <c r="S101" s="44">
        <f t="shared" si="112"/>
        <v>153168.97015141419</v>
      </c>
      <c r="T101" s="35">
        <f t="shared" si="113"/>
        <v>272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611.22756578298208</v>
      </c>
      <c r="V101" s="57">
        <v>0</v>
      </c>
      <c r="W101" s="57">
        <v>0</v>
      </c>
      <c r="X101" s="61">
        <f t="shared" si="104"/>
        <v>272</v>
      </c>
      <c r="Y101" s="40">
        <f t="shared" si="114"/>
        <v>0</v>
      </c>
      <c r="Z101" s="40">
        <f t="shared" si="115"/>
        <v>0</v>
      </c>
      <c r="AA101" s="44">
        <f t="shared" si="116"/>
        <v>166253.89789297112</v>
      </c>
      <c r="AB101" s="35">
        <f t="shared" si="117"/>
        <v>272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662.82367303130684</v>
      </c>
      <c r="AD101" s="57">
        <v>0</v>
      </c>
      <c r="AE101" s="57">
        <v>16</v>
      </c>
      <c r="AF101" s="61">
        <f t="shared" si="105"/>
        <v>256</v>
      </c>
      <c r="AG101" s="40">
        <f t="shared" si="118"/>
        <v>0</v>
      </c>
      <c r="AH101" s="40">
        <f t="shared" si="119"/>
        <v>-10605.178768500909</v>
      </c>
      <c r="AI101" s="44">
        <f t="shared" si="120"/>
        <v>169682.86029601455</v>
      </c>
      <c r="AJ101" s="35">
        <f t="shared" si="106"/>
        <v>256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717.43080284069754</v>
      </c>
      <c r="AL101" s="57">
        <v>0</v>
      </c>
      <c r="AM101" s="57">
        <v>1</v>
      </c>
      <c r="AN101" s="61">
        <f t="shared" si="107"/>
        <v>255</v>
      </c>
      <c r="AO101" s="40">
        <f t="shared" si="121"/>
        <v>0</v>
      </c>
      <c r="AP101" s="40">
        <f t="shared" si="122"/>
        <v>-717.43080284069754</v>
      </c>
      <c r="AQ101" s="44">
        <f t="shared" si="123"/>
        <v>182944.85472437786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14</v>
      </c>
      <c r="G102" s="35">
        <f>SUMIFS(WORKING!$AC$3:$AC$6802,WORKING!$A$3:$A$6802,Results!$D$3,WORKING!$B$3:$B$6802,Results!A102,WORKING!$C$3:$C$6802,Results!C102)/1000</f>
        <v>8238.6104800000012</v>
      </c>
      <c r="H102" s="35">
        <f t="shared" si="108"/>
        <v>588.47217714285728</v>
      </c>
      <c r="I102" s="187">
        <v>13</v>
      </c>
      <c r="J102" s="212">
        <v>7567.19</v>
      </c>
      <c r="K102" s="217">
        <f t="shared" si="109"/>
        <v>582.09153846153845</v>
      </c>
      <c r="L102" s="34">
        <f t="shared" si="102"/>
        <v>13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635.49775836453284</v>
      </c>
      <c r="N102" s="57">
        <v>0</v>
      </c>
      <c r="O102" s="57">
        <v>0</v>
      </c>
      <c r="P102" s="61">
        <f t="shared" si="103"/>
        <v>13</v>
      </c>
      <c r="Q102" s="40">
        <f t="shared" si="110"/>
        <v>0</v>
      </c>
      <c r="R102" s="40">
        <f t="shared" si="111"/>
        <v>0</v>
      </c>
      <c r="S102" s="44">
        <f t="shared" si="112"/>
        <v>8261.4708587389268</v>
      </c>
      <c r="T102" s="35">
        <f t="shared" si="113"/>
        <v>13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689.93514148314102</v>
      </c>
      <c r="V102" s="57">
        <v>0</v>
      </c>
      <c r="W102" s="57">
        <v>0</v>
      </c>
      <c r="X102" s="61">
        <f t="shared" si="104"/>
        <v>13</v>
      </c>
      <c r="Y102" s="40">
        <f t="shared" si="114"/>
        <v>0</v>
      </c>
      <c r="Z102" s="40">
        <f t="shared" si="115"/>
        <v>0</v>
      </c>
      <c r="AA102" s="44">
        <f t="shared" si="116"/>
        <v>8969.1568392808331</v>
      </c>
      <c r="AB102" s="35">
        <f t="shared" si="117"/>
        <v>13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748.33565275129024</v>
      </c>
      <c r="AD102" s="57">
        <v>0</v>
      </c>
      <c r="AE102" s="57">
        <v>1</v>
      </c>
      <c r="AF102" s="61">
        <f t="shared" si="105"/>
        <v>12</v>
      </c>
      <c r="AG102" s="40">
        <f t="shared" si="118"/>
        <v>0</v>
      </c>
      <c r="AH102" s="40">
        <f t="shared" si="119"/>
        <v>-748.33565275129024</v>
      </c>
      <c r="AI102" s="44">
        <f t="shared" si="120"/>
        <v>8980.0278330154833</v>
      </c>
      <c r="AJ102" s="35">
        <f t="shared" si="106"/>
        <v>12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810.16097853348197</v>
      </c>
      <c r="AL102" s="57">
        <v>0</v>
      </c>
      <c r="AM102" s="57">
        <v>0</v>
      </c>
      <c r="AN102" s="61">
        <f t="shared" si="107"/>
        <v>12</v>
      </c>
      <c r="AO102" s="40">
        <f t="shared" si="121"/>
        <v>0</v>
      </c>
      <c r="AP102" s="40">
        <f t="shared" si="122"/>
        <v>0</v>
      </c>
      <c r="AQ102" s="44">
        <f t="shared" si="123"/>
        <v>9721.9317424017827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77</v>
      </c>
      <c r="G103" s="35">
        <f>SUMIFS(WORKING!$AC$3:$AC$6802,WORKING!$A$3:$A$6802,Results!$D$3,WORKING!$B$3:$B$6802,Results!A103,WORKING!$C$3:$C$6802,Results!C103)/1000</f>
        <v>56539.393619999988</v>
      </c>
      <c r="H103" s="35">
        <f t="shared" si="108"/>
        <v>734.27783922077901</v>
      </c>
      <c r="I103" s="187">
        <v>64</v>
      </c>
      <c r="J103" s="212">
        <v>45156.59</v>
      </c>
      <c r="K103" s="217">
        <f t="shared" si="109"/>
        <v>705.57171874999995</v>
      </c>
      <c r="L103" s="34">
        <f t="shared" si="102"/>
        <v>64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770.29145944915138</v>
      </c>
      <c r="N103" s="57">
        <v>0</v>
      </c>
      <c r="O103" s="57">
        <v>0</v>
      </c>
      <c r="P103" s="61">
        <f t="shared" si="103"/>
        <v>64</v>
      </c>
      <c r="Q103" s="40">
        <f t="shared" si="110"/>
        <v>0</v>
      </c>
      <c r="R103" s="40">
        <f t="shared" si="111"/>
        <v>0</v>
      </c>
      <c r="S103" s="44">
        <f t="shared" si="112"/>
        <v>49298.653404745688</v>
      </c>
      <c r="T103" s="35">
        <f t="shared" si="113"/>
        <v>64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836.25842653607299</v>
      </c>
      <c r="V103" s="57">
        <v>0</v>
      </c>
      <c r="W103" s="57">
        <v>3</v>
      </c>
      <c r="X103" s="61">
        <f t="shared" si="104"/>
        <v>61</v>
      </c>
      <c r="Y103" s="40">
        <f t="shared" si="114"/>
        <v>0</v>
      </c>
      <c r="Z103" s="40">
        <f t="shared" si="115"/>
        <v>-2508.7752796082191</v>
      </c>
      <c r="AA103" s="44">
        <f t="shared" si="116"/>
        <v>51011.764018700451</v>
      </c>
      <c r="AB103" s="35">
        <f t="shared" si="117"/>
        <v>61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907.02625566740574</v>
      </c>
      <c r="AD103" s="57">
        <v>0</v>
      </c>
      <c r="AE103" s="57">
        <v>5</v>
      </c>
      <c r="AF103" s="61">
        <f t="shared" si="105"/>
        <v>56</v>
      </c>
      <c r="AG103" s="40">
        <f t="shared" si="118"/>
        <v>0</v>
      </c>
      <c r="AH103" s="40">
        <f t="shared" si="119"/>
        <v>-4535.1312783370286</v>
      </c>
      <c r="AI103" s="44">
        <f t="shared" si="120"/>
        <v>50793.470317374718</v>
      </c>
      <c r="AJ103" s="35">
        <f t="shared" si="106"/>
        <v>56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981.94220017537896</v>
      </c>
      <c r="AL103" s="57">
        <v>0</v>
      </c>
      <c r="AM103" s="57">
        <v>0</v>
      </c>
      <c r="AN103" s="61">
        <f t="shared" si="107"/>
        <v>56</v>
      </c>
      <c r="AO103" s="40">
        <f t="shared" si="121"/>
        <v>0</v>
      </c>
      <c r="AP103" s="40">
        <f t="shared" si="122"/>
        <v>0</v>
      </c>
      <c r="AQ103" s="44">
        <f t="shared" si="123"/>
        <v>54988.76320982122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45</v>
      </c>
      <c r="G104" s="35">
        <f>SUMIFS(WORKING!$AC$3:$AC$6802,WORKING!$A$3:$A$6802,Results!$D$3,WORKING!$B$3:$B$6802,Results!A104,WORKING!$C$3:$C$6802,Results!C104)/1000</f>
        <v>42341.676530000019</v>
      </c>
      <c r="H104" s="35">
        <f t="shared" si="108"/>
        <v>940.92614511111151</v>
      </c>
      <c r="I104" s="187">
        <v>45</v>
      </c>
      <c r="J104" s="212">
        <v>40403.97</v>
      </c>
      <c r="K104" s="217">
        <f t="shared" si="109"/>
        <v>897.86599999999999</v>
      </c>
      <c r="L104" s="34">
        <f t="shared" si="102"/>
        <v>45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940.99907029783003</v>
      </c>
      <c r="N104" s="57">
        <v>0</v>
      </c>
      <c r="O104" s="57">
        <v>0</v>
      </c>
      <c r="P104" s="61">
        <f t="shared" si="103"/>
        <v>45</v>
      </c>
      <c r="Q104" s="40">
        <f t="shared" si="110"/>
        <v>0</v>
      </c>
      <c r="R104" s="40">
        <f t="shared" si="111"/>
        <v>0</v>
      </c>
      <c r="S104" s="44">
        <f t="shared" si="112"/>
        <v>42344.958163402349</v>
      </c>
      <c r="T104" s="35">
        <f t="shared" si="113"/>
        <v>45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1011.98111083551</v>
      </c>
      <c r="V104" s="57">
        <v>0</v>
      </c>
      <c r="W104" s="57">
        <v>0</v>
      </c>
      <c r="X104" s="61">
        <f t="shared" si="104"/>
        <v>45</v>
      </c>
      <c r="Y104" s="40">
        <f t="shared" si="114"/>
        <v>0</v>
      </c>
      <c r="Z104" s="40">
        <f t="shared" si="115"/>
        <v>0</v>
      </c>
      <c r="AA104" s="44">
        <f t="shared" si="116"/>
        <v>45539.14998759795</v>
      </c>
      <c r="AB104" s="35">
        <f t="shared" si="117"/>
        <v>45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1087.2907991783825</v>
      </c>
      <c r="AD104" s="57">
        <v>0</v>
      </c>
      <c r="AE104" s="57">
        <v>2</v>
      </c>
      <c r="AF104" s="61">
        <f t="shared" si="105"/>
        <v>43</v>
      </c>
      <c r="AG104" s="40">
        <f t="shared" si="118"/>
        <v>0</v>
      </c>
      <c r="AH104" s="40">
        <f t="shared" si="119"/>
        <v>-2174.581598356765</v>
      </c>
      <c r="AI104" s="44">
        <f t="shared" si="120"/>
        <v>46753.504364670443</v>
      </c>
      <c r="AJ104" s="35">
        <f t="shared" si="106"/>
        <v>43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1165.9986481864892</v>
      </c>
      <c r="AL104" s="57">
        <v>0</v>
      </c>
      <c r="AM104" s="57">
        <v>2</v>
      </c>
      <c r="AN104" s="61">
        <f t="shared" si="107"/>
        <v>41</v>
      </c>
      <c r="AO104" s="40">
        <f t="shared" si="121"/>
        <v>0</v>
      </c>
      <c r="AP104" s="40">
        <f t="shared" si="122"/>
        <v>-2331.9972963729783</v>
      </c>
      <c r="AQ104" s="44">
        <f t="shared" si="123"/>
        <v>47805.944575646055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11</v>
      </c>
      <c r="G105" s="35">
        <f>SUMIFS(WORKING!$AC$3:$AC$6802,WORKING!$A$3:$A$6802,Results!$D$3,WORKING!$B$3:$B$6802,Results!A105,WORKING!$C$3:$C$6802,Results!C105)/1000</f>
        <v>11715.46081</v>
      </c>
      <c r="H105" s="35">
        <f t="shared" si="108"/>
        <v>1065.041891818182</v>
      </c>
      <c r="I105" s="187">
        <v>11</v>
      </c>
      <c r="J105" s="212">
        <v>12113.53</v>
      </c>
      <c r="K105" s="217">
        <f t="shared" si="109"/>
        <v>1101.23</v>
      </c>
      <c r="L105" s="34">
        <f t="shared" si="102"/>
        <v>11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1154.0256834642655</v>
      </c>
      <c r="N105" s="57">
        <v>0</v>
      </c>
      <c r="O105" s="57">
        <v>0</v>
      </c>
      <c r="P105" s="61">
        <f t="shared" si="103"/>
        <v>11</v>
      </c>
      <c r="Q105" s="40">
        <f t="shared" si="110"/>
        <v>0</v>
      </c>
      <c r="R105" s="40">
        <f t="shared" si="111"/>
        <v>0</v>
      </c>
      <c r="S105" s="44">
        <f t="shared" si="112"/>
        <v>12694.28251810692</v>
      </c>
      <c r="T105" s="35">
        <f t="shared" si="113"/>
        <v>11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1240.9619299149385</v>
      </c>
      <c r="V105" s="57">
        <v>0</v>
      </c>
      <c r="W105" s="57">
        <v>0</v>
      </c>
      <c r="X105" s="61">
        <f t="shared" si="104"/>
        <v>11</v>
      </c>
      <c r="Y105" s="40">
        <f t="shared" si="114"/>
        <v>0</v>
      </c>
      <c r="Z105" s="40">
        <f t="shared" si="115"/>
        <v>0</v>
      </c>
      <c r="AA105" s="44">
        <f t="shared" si="116"/>
        <v>13650.581229064324</v>
      </c>
      <c r="AB105" s="35">
        <f t="shared" si="117"/>
        <v>11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1333.1884342608496</v>
      </c>
      <c r="AD105" s="57">
        <v>0</v>
      </c>
      <c r="AE105" s="57">
        <v>0</v>
      </c>
      <c r="AF105" s="61">
        <f t="shared" si="105"/>
        <v>11</v>
      </c>
      <c r="AG105" s="40">
        <f t="shared" si="118"/>
        <v>0</v>
      </c>
      <c r="AH105" s="40">
        <f t="shared" si="119"/>
        <v>0</v>
      </c>
      <c r="AI105" s="44">
        <f t="shared" si="120"/>
        <v>14665.072776869345</v>
      </c>
      <c r="AJ105" s="35">
        <f t="shared" si="106"/>
        <v>11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1429.5641333295187</v>
      </c>
      <c r="AL105" s="57">
        <v>0</v>
      </c>
      <c r="AM105" s="57">
        <v>0</v>
      </c>
      <c r="AN105" s="61">
        <f t="shared" si="107"/>
        <v>11</v>
      </c>
      <c r="AO105" s="40">
        <f t="shared" si="121"/>
        <v>0</v>
      </c>
      <c r="AP105" s="40">
        <f t="shared" si="122"/>
        <v>0</v>
      </c>
      <c r="AQ105" s="44">
        <f t="shared" si="123"/>
        <v>15725.205466624706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1345.6867500000001</v>
      </c>
      <c r="H106" s="35">
        <f t="shared" si="108"/>
        <v>1345.6867500000001</v>
      </c>
      <c r="I106" s="187">
        <v>1</v>
      </c>
      <c r="J106" s="212">
        <v>1345.62</v>
      </c>
      <c r="K106" s="217">
        <f t="shared" si="109"/>
        <v>1345.62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1410.5214894475901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1410.5214894475901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1517.1989184464687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1517.1989184464687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1630.4047677308542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1630.4047677308542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1748.748584922294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1748.748584922294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7804</v>
      </c>
      <c r="G112" s="41">
        <f>SUM(G92:G111)</f>
        <v>2102155.7578699999</v>
      </c>
      <c r="H112" s="41">
        <f>IFERROR(G112/F112,0)</f>
        <v>269.36901049077392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6809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1850234.0200000003</v>
      </c>
      <c r="K112" s="41">
        <f>IFERROR(J112/I112,"")</f>
        <v>271.73359083565873</v>
      </c>
      <c r="L112" s="41">
        <f>SUM(L92:L111)</f>
        <v>6809</v>
      </c>
      <c r="M112" s="41">
        <f>IFERROR(S112/P112,0)</f>
        <v>294.40685075713913</v>
      </c>
      <c r="N112" s="41">
        <f t="shared" ref="N112:T112" si="124">SUM(N92:N111)</f>
        <v>0</v>
      </c>
      <c r="O112" s="41">
        <f t="shared" si="124"/>
        <v>81</v>
      </c>
      <c r="P112" s="41">
        <f t="shared" si="124"/>
        <v>6728</v>
      </c>
      <c r="Q112" s="41">
        <f t="shared" si="124"/>
        <v>0</v>
      </c>
      <c r="R112" s="41">
        <f t="shared" si="124"/>
        <v>-30047.224108171489</v>
      </c>
      <c r="S112" s="45">
        <f t="shared" si="124"/>
        <v>1980769.2918940319</v>
      </c>
      <c r="T112" s="41">
        <f t="shared" si="124"/>
        <v>6728</v>
      </c>
      <c r="U112" s="41">
        <f>IFERROR(AA112/X112,0)</f>
        <v>319.23030925894096</v>
      </c>
      <c r="V112" s="41">
        <f t="shared" ref="V112:AB112" si="125">SUM(V92:V111)</f>
        <v>0</v>
      </c>
      <c r="W112" s="41">
        <f t="shared" si="125"/>
        <v>21</v>
      </c>
      <c r="X112" s="41">
        <f t="shared" si="125"/>
        <v>6707</v>
      </c>
      <c r="Y112" s="41">
        <f t="shared" si="125"/>
        <v>0</v>
      </c>
      <c r="Z112" s="41">
        <f t="shared" si="125"/>
        <v>-7211.884772669433</v>
      </c>
      <c r="AA112" s="45">
        <f t="shared" si="125"/>
        <v>2141077.6841997169</v>
      </c>
      <c r="AB112" s="41">
        <f t="shared" si="125"/>
        <v>6707</v>
      </c>
      <c r="AC112" s="41">
        <f>IFERROR(AI112/AF112,0)</f>
        <v>344.86243291822956</v>
      </c>
      <c r="AD112" s="41">
        <f t="shared" ref="AD112:AJ112" si="126">SUM(AD92:AD111)</f>
        <v>0</v>
      </c>
      <c r="AE112" s="41">
        <f t="shared" si="126"/>
        <v>158</v>
      </c>
      <c r="AF112" s="41">
        <f t="shared" si="126"/>
        <v>6549</v>
      </c>
      <c r="AG112" s="41">
        <f t="shared" si="126"/>
        <v>0</v>
      </c>
      <c r="AH112" s="41">
        <f t="shared" si="126"/>
        <v>-61483.735374789227</v>
      </c>
      <c r="AI112" s="45">
        <f t="shared" si="126"/>
        <v>2258504.0731814853</v>
      </c>
      <c r="AJ112" s="41">
        <f t="shared" si="126"/>
        <v>6549</v>
      </c>
      <c r="AK112" s="41">
        <f>IFERROR(AQ112/AN112,0)</f>
        <v>372.91623139295416</v>
      </c>
      <c r="AL112" s="41">
        <f t="shared" ref="AL112:AQ112" si="127">SUM(AL92:AL111)</f>
        <v>0</v>
      </c>
      <c r="AM112" s="41">
        <f t="shared" si="127"/>
        <v>28</v>
      </c>
      <c r="AN112" s="41">
        <f t="shared" si="127"/>
        <v>6521</v>
      </c>
      <c r="AO112" s="41">
        <f t="shared" si="127"/>
        <v>0</v>
      </c>
      <c r="AP112" s="41">
        <f t="shared" si="127"/>
        <v>-10862.431015833199</v>
      </c>
      <c r="AQ112" s="45">
        <f t="shared" si="127"/>
        <v>2431786.7449134542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1902296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1953562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2011489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2164362.1640000003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-78473.291894031921</v>
      </c>
      <c r="T114" s="39"/>
      <c r="U114" s="39"/>
      <c r="V114" s="53"/>
      <c r="W114" s="53"/>
      <c r="X114" s="110"/>
      <c r="Y114" s="39"/>
      <c r="Z114" s="39"/>
      <c r="AA114" s="54">
        <f>AA113-AA112</f>
        <v>-187515.6841997169</v>
      </c>
      <c r="AB114" s="39"/>
      <c r="AC114" s="53"/>
      <c r="AD114" s="53"/>
      <c r="AE114" s="110"/>
      <c r="AF114" s="39"/>
      <c r="AG114" s="39"/>
      <c r="AH114" s="39"/>
      <c r="AI114" s="54">
        <f>AI113-AI112</f>
        <v>-247015.07318148529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-267424.58091345383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Immigration Affairs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28</v>
      </c>
      <c r="G120" s="35">
        <f>SUMIFS(WORKING!$AC$3:$AC$6802,WORKING!$A$3:$A$6802,Results!$D$3,WORKING!$B$3:$B$6802,Results!A120,WORKING!$C$3:$C$6802,Results!C120)/1000</f>
        <v>430</v>
      </c>
      <c r="H120" s="35">
        <f>IFERROR(G120/F120,0)</f>
        <v>15.357142857142858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16.772150000000003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18.2153935075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19.764339494410262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21.404878494143784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3</v>
      </c>
      <c r="G122" s="35">
        <f>SUMIFS(WORKING!$AC$3:$AC$6802,WORKING!$A$3:$A$6802,Results!$D$3,WORKING!$B$3:$B$6802,Results!A122,WORKING!$C$3:$C$6802,Results!C122)/1000</f>
        <v>337.75676000000004</v>
      </c>
      <c r="H122" s="35">
        <f t="shared" si="134"/>
        <v>112.58558666666669</v>
      </c>
      <c r="I122" s="187">
        <v>86</v>
      </c>
      <c r="J122" s="212">
        <v>11880.09</v>
      </c>
      <c r="K122" s="217">
        <f t="shared" si="135"/>
        <v>138.14058139534885</v>
      </c>
      <c r="L122" s="34">
        <f t="shared" si="128"/>
        <v>86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149.75257103107705</v>
      </c>
      <c r="N122" s="57">
        <v>0</v>
      </c>
      <c r="O122" s="57">
        <v>1</v>
      </c>
      <c r="P122" s="61">
        <f t="shared" si="129"/>
        <v>85</v>
      </c>
      <c r="Q122" s="40">
        <f t="shared" si="136"/>
        <v>0</v>
      </c>
      <c r="R122" s="40">
        <f t="shared" si="137"/>
        <v>-149.75257103107705</v>
      </c>
      <c r="S122" s="44">
        <f t="shared" si="138"/>
        <v>12728.968537641549</v>
      </c>
      <c r="T122" s="35">
        <f t="shared" si="139"/>
        <v>85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162.29451761534261</v>
      </c>
      <c r="V122" s="57">
        <v>0</v>
      </c>
      <c r="W122" s="57">
        <v>0</v>
      </c>
      <c r="X122" s="61">
        <f t="shared" si="130"/>
        <v>85</v>
      </c>
      <c r="Y122" s="40">
        <f t="shared" si="140"/>
        <v>0</v>
      </c>
      <c r="Z122" s="40">
        <f t="shared" si="141"/>
        <v>0</v>
      </c>
      <c r="AA122" s="44">
        <f t="shared" si="142"/>
        <v>13795.033997304123</v>
      </c>
      <c r="AB122" s="35">
        <f t="shared" si="143"/>
        <v>85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175.72251192383251</v>
      </c>
      <c r="AD122" s="57">
        <v>0</v>
      </c>
      <c r="AE122" s="57">
        <v>1</v>
      </c>
      <c r="AF122" s="61">
        <f t="shared" si="131"/>
        <v>84</v>
      </c>
      <c r="AG122" s="40">
        <f t="shared" si="144"/>
        <v>0</v>
      </c>
      <c r="AH122" s="40">
        <f t="shared" si="145"/>
        <v>-175.72251192383251</v>
      </c>
      <c r="AI122" s="44">
        <f t="shared" si="146"/>
        <v>14760.691001601932</v>
      </c>
      <c r="AJ122" s="35">
        <f t="shared" si="132"/>
        <v>84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189.90561172966756</v>
      </c>
      <c r="AL122" s="57">
        <v>0</v>
      </c>
      <c r="AM122" s="57">
        <v>1</v>
      </c>
      <c r="AN122" s="61">
        <f t="shared" si="133"/>
        <v>83</v>
      </c>
      <c r="AO122" s="40">
        <f t="shared" si="147"/>
        <v>0</v>
      </c>
      <c r="AP122" s="40">
        <f t="shared" si="148"/>
        <v>-189.90561172966756</v>
      </c>
      <c r="AQ122" s="44">
        <f t="shared" si="149"/>
        <v>15762.165773562407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5</v>
      </c>
      <c r="G124" s="35">
        <f>SUMIFS(WORKING!$AC$3:$AC$6802,WORKING!$A$3:$A$6802,Results!$D$3,WORKING!$B$3:$B$6802,Results!A124,WORKING!$C$3:$C$6802,Results!C124)/1000</f>
        <v>963.48345999999992</v>
      </c>
      <c r="H124" s="35">
        <f t="shared" si="134"/>
        <v>192.69669199999998</v>
      </c>
      <c r="I124" s="187">
        <v>4</v>
      </c>
      <c r="J124" s="212">
        <v>750.7</v>
      </c>
      <c r="K124" s="217">
        <f t="shared" si="135"/>
        <v>187.67500000000001</v>
      </c>
      <c r="L124" s="34">
        <f t="shared" si="128"/>
        <v>4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203.99514813690277</v>
      </c>
      <c r="N124" s="57">
        <v>0</v>
      </c>
      <c r="O124" s="57">
        <v>0</v>
      </c>
      <c r="P124" s="61">
        <f t="shared" si="129"/>
        <v>4</v>
      </c>
      <c r="Q124" s="40">
        <f t="shared" si="136"/>
        <v>0</v>
      </c>
      <c r="R124" s="40">
        <f t="shared" si="137"/>
        <v>0</v>
      </c>
      <c r="S124" s="44">
        <f t="shared" si="138"/>
        <v>815.98059254761108</v>
      </c>
      <c r="T124" s="35">
        <f t="shared" si="139"/>
        <v>4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221.24798567788224</v>
      </c>
      <c r="V124" s="57">
        <v>0</v>
      </c>
      <c r="W124" s="57">
        <v>0</v>
      </c>
      <c r="X124" s="61">
        <f t="shared" si="130"/>
        <v>4</v>
      </c>
      <c r="Y124" s="40">
        <f t="shared" si="140"/>
        <v>0</v>
      </c>
      <c r="Z124" s="40">
        <f t="shared" si="141"/>
        <v>0</v>
      </c>
      <c r="AA124" s="44">
        <f t="shared" si="142"/>
        <v>884.99194271152896</v>
      </c>
      <c r="AB124" s="35">
        <f t="shared" si="143"/>
        <v>4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239.73576004786597</v>
      </c>
      <c r="AD124" s="57">
        <v>0</v>
      </c>
      <c r="AE124" s="57">
        <v>0</v>
      </c>
      <c r="AF124" s="61">
        <f t="shared" si="131"/>
        <v>4</v>
      </c>
      <c r="AG124" s="40">
        <f t="shared" si="144"/>
        <v>0</v>
      </c>
      <c r="AH124" s="40">
        <f t="shared" si="145"/>
        <v>0</v>
      </c>
      <c r="AI124" s="44">
        <f t="shared" si="146"/>
        <v>958.94304019146387</v>
      </c>
      <c r="AJ124" s="35">
        <f t="shared" si="132"/>
        <v>4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259.28249048268765</v>
      </c>
      <c r="AL124" s="57">
        <v>0</v>
      </c>
      <c r="AM124" s="57">
        <v>0</v>
      </c>
      <c r="AN124" s="61">
        <f t="shared" si="133"/>
        <v>4</v>
      </c>
      <c r="AO124" s="40">
        <f t="shared" si="147"/>
        <v>0</v>
      </c>
      <c r="AP124" s="40">
        <f t="shared" si="148"/>
        <v>0</v>
      </c>
      <c r="AQ124" s="44">
        <f t="shared" si="149"/>
        <v>1037.1299619307506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547</v>
      </c>
      <c r="G125" s="35">
        <f>SUMIFS(WORKING!$AC$3:$AC$6802,WORKING!$A$3:$A$6802,Results!$D$3,WORKING!$B$3:$B$6802,Results!A125,WORKING!$C$3:$C$6802,Results!C125)/1000</f>
        <v>133237.99949999998</v>
      </c>
      <c r="H125" s="35">
        <f t="shared" si="134"/>
        <v>243.5795237659963</v>
      </c>
      <c r="I125" s="187">
        <v>1251</v>
      </c>
      <c r="J125" s="212">
        <v>287118.34000000003</v>
      </c>
      <c r="K125" s="217">
        <f t="shared" si="135"/>
        <v>229.51106314948044</v>
      </c>
      <c r="L125" s="34">
        <f t="shared" si="128"/>
        <v>1251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249.54489419085292</v>
      </c>
      <c r="N125" s="57">
        <v>0</v>
      </c>
      <c r="O125" s="57">
        <v>31</v>
      </c>
      <c r="P125" s="61">
        <f t="shared" si="129"/>
        <v>1220</v>
      </c>
      <c r="Q125" s="40">
        <f t="shared" si="136"/>
        <v>0</v>
      </c>
      <c r="R125" s="40">
        <f t="shared" si="137"/>
        <v>-7735.8917199164407</v>
      </c>
      <c r="S125" s="44">
        <f t="shared" si="138"/>
        <v>304444.77091284055</v>
      </c>
      <c r="T125" s="35">
        <f t="shared" si="139"/>
        <v>1220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270.67298087715608</v>
      </c>
      <c r="V125" s="57">
        <v>0</v>
      </c>
      <c r="W125" s="57">
        <v>21</v>
      </c>
      <c r="X125" s="61">
        <f t="shared" si="130"/>
        <v>1199</v>
      </c>
      <c r="Y125" s="40">
        <f t="shared" si="140"/>
        <v>0</v>
      </c>
      <c r="Z125" s="40">
        <f t="shared" si="141"/>
        <v>-5684.1325984202776</v>
      </c>
      <c r="AA125" s="44">
        <f t="shared" si="142"/>
        <v>324536.90407171013</v>
      </c>
      <c r="AB125" s="35">
        <f t="shared" si="143"/>
        <v>1199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293.31560949329656</v>
      </c>
      <c r="AD125" s="57">
        <v>0</v>
      </c>
      <c r="AE125" s="57">
        <v>40</v>
      </c>
      <c r="AF125" s="61">
        <f t="shared" si="131"/>
        <v>1159</v>
      </c>
      <c r="AG125" s="40">
        <f t="shared" si="144"/>
        <v>0</v>
      </c>
      <c r="AH125" s="40">
        <f t="shared" si="145"/>
        <v>-11732.624379731862</v>
      </c>
      <c r="AI125" s="44">
        <f t="shared" si="146"/>
        <v>339952.79140273074</v>
      </c>
      <c r="AJ125" s="35">
        <f t="shared" si="132"/>
        <v>1159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317.25787446634916</v>
      </c>
      <c r="AL125" s="57">
        <v>0</v>
      </c>
      <c r="AM125" s="57">
        <v>1</v>
      </c>
      <c r="AN125" s="61">
        <f t="shared" si="133"/>
        <v>1158</v>
      </c>
      <c r="AO125" s="40">
        <f t="shared" si="147"/>
        <v>0</v>
      </c>
      <c r="AP125" s="40">
        <f t="shared" si="148"/>
        <v>-317.25787446634916</v>
      </c>
      <c r="AQ125" s="44">
        <f t="shared" si="149"/>
        <v>367384.61863203236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37</v>
      </c>
      <c r="G126" s="35">
        <f>SUMIFS(WORKING!$AC$3:$AC$6802,WORKING!$A$3:$A$6802,Results!$D$3,WORKING!$B$3:$B$6802,Results!A126,WORKING!$C$3:$C$6802,Results!C126)/1000</f>
        <v>11188.409849999998</v>
      </c>
      <c r="H126" s="35">
        <f t="shared" si="134"/>
        <v>302.38945540540533</v>
      </c>
      <c r="I126" s="187">
        <v>30</v>
      </c>
      <c r="J126" s="212">
        <v>8687.51</v>
      </c>
      <c r="K126" s="217">
        <f t="shared" si="135"/>
        <v>289.58366666666666</v>
      </c>
      <c r="L126" s="34">
        <f t="shared" si="128"/>
        <v>30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315.24632148229063</v>
      </c>
      <c r="N126" s="57">
        <v>0</v>
      </c>
      <c r="O126" s="57">
        <v>5</v>
      </c>
      <c r="P126" s="61">
        <f t="shared" si="129"/>
        <v>25</v>
      </c>
      <c r="Q126" s="40">
        <f t="shared" si="136"/>
        <v>0</v>
      </c>
      <c r="R126" s="40">
        <f t="shared" si="137"/>
        <v>-1576.2316074114531</v>
      </c>
      <c r="S126" s="44">
        <f t="shared" si="138"/>
        <v>7881.1580370572656</v>
      </c>
      <c r="T126" s="35">
        <f t="shared" si="139"/>
        <v>25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342.05493626067147</v>
      </c>
      <c r="V126" s="57">
        <v>0</v>
      </c>
      <c r="W126" s="57">
        <v>0</v>
      </c>
      <c r="X126" s="61">
        <f t="shared" si="130"/>
        <v>25</v>
      </c>
      <c r="Y126" s="40">
        <f t="shared" si="140"/>
        <v>0</v>
      </c>
      <c r="Z126" s="40">
        <f t="shared" si="141"/>
        <v>0</v>
      </c>
      <c r="AA126" s="44">
        <f t="shared" si="142"/>
        <v>8551.3734065167864</v>
      </c>
      <c r="AB126" s="35">
        <f t="shared" si="143"/>
        <v>25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370.79666526207961</v>
      </c>
      <c r="AD126" s="57">
        <v>0</v>
      </c>
      <c r="AE126" s="57">
        <v>0</v>
      </c>
      <c r="AF126" s="61">
        <f t="shared" si="131"/>
        <v>25</v>
      </c>
      <c r="AG126" s="40">
        <f t="shared" si="144"/>
        <v>0</v>
      </c>
      <c r="AH126" s="40">
        <f t="shared" si="145"/>
        <v>0</v>
      </c>
      <c r="AI126" s="44">
        <f t="shared" si="146"/>
        <v>9269.9166315519906</v>
      </c>
      <c r="AJ126" s="35">
        <f t="shared" si="132"/>
        <v>25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401.20180967023606</v>
      </c>
      <c r="AL126" s="57">
        <v>0</v>
      </c>
      <c r="AM126" s="57">
        <v>0</v>
      </c>
      <c r="AN126" s="61">
        <f t="shared" si="133"/>
        <v>25</v>
      </c>
      <c r="AO126" s="40">
        <f t="shared" si="147"/>
        <v>0</v>
      </c>
      <c r="AP126" s="40">
        <f t="shared" si="148"/>
        <v>0</v>
      </c>
      <c r="AQ126" s="44">
        <f t="shared" si="149"/>
        <v>10030.045241755901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179</v>
      </c>
      <c r="G127" s="35">
        <f>SUMIFS(WORKING!$AC$3:$AC$6802,WORKING!$A$3:$A$6802,Results!$D$3,WORKING!$B$3:$B$6802,Results!A127,WORKING!$C$3:$C$6802,Results!C127)/1000</f>
        <v>62084.180929999988</v>
      </c>
      <c r="H127" s="35">
        <f t="shared" si="134"/>
        <v>346.83899960893848</v>
      </c>
      <c r="I127" s="187">
        <v>294</v>
      </c>
      <c r="J127" s="212">
        <v>103644.91</v>
      </c>
      <c r="K127" s="217">
        <f t="shared" si="135"/>
        <v>352.53370748299324</v>
      </c>
      <c r="L127" s="34">
        <f t="shared" si="128"/>
        <v>294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383.85875388857352</v>
      </c>
      <c r="N127" s="57">
        <v>0</v>
      </c>
      <c r="O127" s="57">
        <v>11</v>
      </c>
      <c r="P127" s="61">
        <f t="shared" si="129"/>
        <v>283</v>
      </c>
      <c r="Q127" s="40">
        <f t="shared" si="136"/>
        <v>0</v>
      </c>
      <c r="R127" s="40">
        <f t="shared" si="137"/>
        <v>-4222.4462927743089</v>
      </c>
      <c r="S127" s="44">
        <f t="shared" si="138"/>
        <v>108632.02735046631</v>
      </c>
      <c r="T127" s="35">
        <f t="shared" si="139"/>
        <v>283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416.52963666762531</v>
      </c>
      <c r="V127" s="57">
        <v>0</v>
      </c>
      <c r="W127" s="57">
        <v>5</v>
      </c>
      <c r="X127" s="61">
        <f t="shared" si="130"/>
        <v>278</v>
      </c>
      <c r="Y127" s="40">
        <f t="shared" si="140"/>
        <v>0</v>
      </c>
      <c r="Z127" s="40">
        <f t="shared" si="141"/>
        <v>-2082.6481833381267</v>
      </c>
      <c r="AA127" s="44">
        <f t="shared" si="142"/>
        <v>115795.23899359984</v>
      </c>
      <c r="AB127" s="35">
        <f t="shared" si="143"/>
        <v>278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451.55891560936965</v>
      </c>
      <c r="AD127" s="57">
        <v>0</v>
      </c>
      <c r="AE127" s="57">
        <v>15</v>
      </c>
      <c r="AF127" s="61">
        <f t="shared" si="131"/>
        <v>263</v>
      </c>
      <c r="AG127" s="40">
        <f t="shared" si="144"/>
        <v>0</v>
      </c>
      <c r="AH127" s="40">
        <f t="shared" si="145"/>
        <v>-6773.3837341405451</v>
      </c>
      <c r="AI127" s="44">
        <f t="shared" si="146"/>
        <v>118759.99480526421</v>
      </c>
      <c r="AJ127" s="35">
        <f t="shared" si="132"/>
        <v>263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488.61850027022223</v>
      </c>
      <c r="AL127" s="57">
        <v>0</v>
      </c>
      <c r="AM127" s="57">
        <v>0</v>
      </c>
      <c r="AN127" s="61">
        <f t="shared" si="133"/>
        <v>263</v>
      </c>
      <c r="AO127" s="40">
        <f t="shared" si="147"/>
        <v>0</v>
      </c>
      <c r="AP127" s="40">
        <f t="shared" si="148"/>
        <v>0</v>
      </c>
      <c r="AQ127" s="44">
        <f t="shared" si="149"/>
        <v>128506.66557106844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 t="s">
        <v>754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96</v>
      </c>
      <c r="G129" s="35">
        <f>SUMIFS(WORKING!$AC$3:$AC$6802,WORKING!$A$3:$A$6802,Results!$D$3,WORKING!$B$3:$B$6802,Results!A129,WORKING!$C$3:$C$6802,Results!C129)/1000</f>
        <v>52694.000940000013</v>
      </c>
      <c r="H129" s="35">
        <f t="shared" si="134"/>
        <v>548.89584312500017</v>
      </c>
      <c r="I129" s="187">
        <v>106</v>
      </c>
      <c r="J129" s="212">
        <v>54766.97</v>
      </c>
      <c r="K129" s="217">
        <f t="shared" si="135"/>
        <v>516.66952830188677</v>
      </c>
      <c r="L129" s="34">
        <f t="shared" si="128"/>
        <v>106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563.30643792676256</v>
      </c>
      <c r="N129" s="57">
        <v>0</v>
      </c>
      <c r="O129" s="57">
        <v>15</v>
      </c>
      <c r="P129" s="61">
        <f t="shared" si="129"/>
        <v>91</v>
      </c>
      <c r="Q129" s="40">
        <f t="shared" si="136"/>
        <v>0</v>
      </c>
      <c r="R129" s="40">
        <f t="shared" si="137"/>
        <v>-8449.5965689014374</v>
      </c>
      <c r="S129" s="44">
        <f t="shared" si="138"/>
        <v>51260.885851335392</v>
      </c>
      <c r="T129" s="35">
        <f t="shared" si="139"/>
        <v>91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611.4750368298478</v>
      </c>
      <c r="V129" s="57">
        <v>0</v>
      </c>
      <c r="W129" s="57">
        <v>5</v>
      </c>
      <c r="X129" s="61">
        <f t="shared" si="130"/>
        <v>86</v>
      </c>
      <c r="Y129" s="40">
        <f t="shared" si="140"/>
        <v>0</v>
      </c>
      <c r="Z129" s="40">
        <f t="shared" si="141"/>
        <v>-3057.375184149239</v>
      </c>
      <c r="AA129" s="44">
        <f t="shared" si="142"/>
        <v>52586.853167366913</v>
      </c>
      <c r="AB129" s="35">
        <f t="shared" si="143"/>
        <v>86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663.14243249163212</v>
      </c>
      <c r="AD129" s="57">
        <v>0</v>
      </c>
      <c r="AE129" s="57">
        <v>10</v>
      </c>
      <c r="AF129" s="61">
        <f t="shared" si="131"/>
        <v>76</v>
      </c>
      <c r="AG129" s="40">
        <f t="shared" si="144"/>
        <v>0</v>
      </c>
      <c r="AH129" s="40">
        <f t="shared" si="145"/>
        <v>-6631.424324916321</v>
      </c>
      <c r="AI129" s="44">
        <f t="shared" si="146"/>
        <v>50398.824869364042</v>
      </c>
      <c r="AJ129" s="35">
        <f t="shared" si="132"/>
        <v>76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717.83049153702859</v>
      </c>
      <c r="AL129" s="57">
        <v>0</v>
      </c>
      <c r="AM129" s="57">
        <v>0</v>
      </c>
      <c r="AN129" s="61">
        <f t="shared" si="133"/>
        <v>76</v>
      </c>
      <c r="AO129" s="40">
        <f t="shared" si="147"/>
        <v>0</v>
      </c>
      <c r="AP129" s="40">
        <f t="shared" si="148"/>
        <v>0</v>
      </c>
      <c r="AQ129" s="44">
        <f t="shared" si="149"/>
        <v>54555.117356814175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6</v>
      </c>
      <c r="G130" s="35">
        <f>SUMIFS(WORKING!$AC$3:$AC$6802,WORKING!$A$3:$A$6802,Results!$D$3,WORKING!$B$3:$B$6802,Results!A130,WORKING!$C$3:$C$6802,Results!C130)/1000</f>
        <v>4997.5728500000005</v>
      </c>
      <c r="H130" s="35">
        <f t="shared" si="134"/>
        <v>832.92880833333345</v>
      </c>
      <c r="I130" s="187">
        <v>4</v>
      </c>
      <c r="J130" s="212">
        <v>2684.26</v>
      </c>
      <c r="K130" s="217">
        <f t="shared" si="135"/>
        <v>671.06500000000005</v>
      </c>
      <c r="L130" s="34">
        <f t="shared" si="128"/>
        <v>4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732.89582984919446</v>
      </c>
      <c r="N130" s="57">
        <v>0</v>
      </c>
      <c r="O130" s="57">
        <v>0</v>
      </c>
      <c r="P130" s="61">
        <f t="shared" si="129"/>
        <v>4</v>
      </c>
      <c r="Q130" s="40">
        <f t="shared" si="136"/>
        <v>0</v>
      </c>
      <c r="R130" s="40">
        <f t="shared" si="137"/>
        <v>0</v>
      </c>
      <c r="S130" s="44">
        <f t="shared" si="138"/>
        <v>2931.5833193967778</v>
      </c>
      <c r="T130" s="35">
        <f t="shared" si="139"/>
        <v>4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795.96032216817082</v>
      </c>
      <c r="V130" s="57">
        <v>0</v>
      </c>
      <c r="W130" s="57">
        <v>0</v>
      </c>
      <c r="X130" s="61">
        <f t="shared" si="130"/>
        <v>4</v>
      </c>
      <c r="Y130" s="40">
        <f t="shared" si="140"/>
        <v>0</v>
      </c>
      <c r="Z130" s="40">
        <f t="shared" si="141"/>
        <v>0</v>
      </c>
      <c r="AA130" s="44">
        <f t="shared" si="142"/>
        <v>3183.8412886726833</v>
      </c>
      <c r="AB130" s="35">
        <f t="shared" si="143"/>
        <v>4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863.64351280799133</v>
      </c>
      <c r="AD130" s="57">
        <v>0</v>
      </c>
      <c r="AE130" s="57">
        <v>0</v>
      </c>
      <c r="AF130" s="61">
        <f t="shared" si="131"/>
        <v>4</v>
      </c>
      <c r="AG130" s="40">
        <f t="shared" si="144"/>
        <v>0</v>
      </c>
      <c r="AH130" s="40">
        <f t="shared" si="145"/>
        <v>0</v>
      </c>
      <c r="AI130" s="44">
        <f t="shared" si="146"/>
        <v>3454.5740512319653</v>
      </c>
      <c r="AJ130" s="35">
        <f t="shared" si="132"/>
        <v>4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935.32883971396882</v>
      </c>
      <c r="AL130" s="57">
        <v>0</v>
      </c>
      <c r="AM130" s="57">
        <v>0</v>
      </c>
      <c r="AN130" s="61">
        <f t="shared" si="133"/>
        <v>4</v>
      </c>
      <c r="AO130" s="40">
        <f t="shared" si="147"/>
        <v>0</v>
      </c>
      <c r="AP130" s="40">
        <f t="shared" si="148"/>
        <v>0</v>
      </c>
      <c r="AQ130" s="44">
        <f t="shared" si="149"/>
        <v>3741.3153588558753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24</v>
      </c>
      <c r="G131" s="35">
        <f>SUMIFS(WORKING!$AC$3:$AC$6802,WORKING!$A$3:$A$6802,Results!$D$3,WORKING!$B$3:$B$6802,Results!A131,WORKING!$C$3:$C$6802,Results!C131)/1000</f>
        <v>17344.423079999997</v>
      </c>
      <c r="H131" s="35">
        <f t="shared" si="134"/>
        <v>722.68429499999991</v>
      </c>
      <c r="I131" s="187">
        <v>25</v>
      </c>
      <c r="J131" s="212">
        <v>17603.64</v>
      </c>
      <c r="K131" s="217">
        <f t="shared" si="135"/>
        <v>704.14559999999994</v>
      </c>
      <c r="L131" s="34">
        <f t="shared" si="128"/>
        <v>25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768.80252464821115</v>
      </c>
      <c r="N131" s="57">
        <v>0</v>
      </c>
      <c r="O131" s="57">
        <v>0</v>
      </c>
      <c r="P131" s="61">
        <f t="shared" si="129"/>
        <v>25</v>
      </c>
      <c r="Q131" s="40">
        <f t="shared" si="136"/>
        <v>0</v>
      </c>
      <c r="R131" s="40">
        <f t="shared" si="137"/>
        <v>0</v>
      </c>
      <c r="S131" s="44">
        <f t="shared" si="138"/>
        <v>19220.063116205278</v>
      </c>
      <c r="T131" s="35">
        <f t="shared" si="139"/>
        <v>25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834.71580768683066</v>
      </c>
      <c r="V131" s="57">
        <v>0</v>
      </c>
      <c r="W131" s="57">
        <v>0</v>
      </c>
      <c r="X131" s="61">
        <f t="shared" si="130"/>
        <v>25</v>
      </c>
      <c r="Y131" s="40">
        <f t="shared" si="140"/>
        <v>0</v>
      </c>
      <c r="Z131" s="40">
        <f t="shared" si="141"/>
        <v>0</v>
      </c>
      <c r="AA131" s="44">
        <f t="shared" si="142"/>
        <v>20867.895192170767</v>
      </c>
      <c r="AB131" s="35">
        <f t="shared" si="143"/>
        <v>25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905.43317511642385</v>
      </c>
      <c r="AD131" s="57">
        <v>0</v>
      </c>
      <c r="AE131" s="57">
        <v>1</v>
      </c>
      <c r="AF131" s="61">
        <f t="shared" si="131"/>
        <v>24</v>
      </c>
      <c r="AG131" s="40">
        <f t="shared" si="144"/>
        <v>0</v>
      </c>
      <c r="AH131" s="40">
        <f t="shared" si="145"/>
        <v>-905.43317511642385</v>
      </c>
      <c r="AI131" s="44">
        <f t="shared" si="146"/>
        <v>21730.396202794174</v>
      </c>
      <c r="AJ131" s="35">
        <f t="shared" si="132"/>
        <v>24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980.30424236668443</v>
      </c>
      <c r="AL131" s="57">
        <v>0</v>
      </c>
      <c r="AM131" s="57">
        <v>0</v>
      </c>
      <c r="AN131" s="61">
        <f t="shared" si="133"/>
        <v>24</v>
      </c>
      <c r="AO131" s="40">
        <f t="shared" si="147"/>
        <v>0</v>
      </c>
      <c r="AP131" s="40">
        <f t="shared" si="148"/>
        <v>0</v>
      </c>
      <c r="AQ131" s="44">
        <f t="shared" si="149"/>
        <v>23527.301816800427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13</v>
      </c>
      <c r="G132" s="35">
        <f>SUMIFS(WORKING!$AC$3:$AC$6802,WORKING!$A$3:$A$6802,Results!$D$3,WORKING!$B$3:$B$6802,Results!A132,WORKING!$C$3:$C$6802,Results!C132)/1000</f>
        <v>12560.902599999999</v>
      </c>
      <c r="H132" s="35">
        <f t="shared" si="134"/>
        <v>966.22327692307692</v>
      </c>
      <c r="I132" s="187">
        <v>12</v>
      </c>
      <c r="J132" s="212">
        <v>11051.1</v>
      </c>
      <c r="K132" s="217">
        <f t="shared" si="135"/>
        <v>920.92500000000007</v>
      </c>
      <c r="L132" s="34">
        <f t="shared" si="128"/>
        <v>12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965.47954431579194</v>
      </c>
      <c r="N132" s="57">
        <v>0</v>
      </c>
      <c r="O132" s="57">
        <v>0</v>
      </c>
      <c r="P132" s="61">
        <f t="shared" si="129"/>
        <v>12</v>
      </c>
      <c r="Q132" s="40">
        <f t="shared" si="136"/>
        <v>0</v>
      </c>
      <c r="R132" s="40">
        <f t="shared" si="137"/>
        <v>0</v>
      </c>
      <c r="S132" s="44">
        <f t="shared" si="138"/>
        <v>11585.754531789504</v>
      </c>
      <c r="T132" s="35">
        <f t="shared" si="139"/>
        <v>12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1038.6457169631108</v>
      </c>
      <c r="V132" s="57">
        <v>0</v>
      </c>
      <c r="W132" s="57">
        <v>0</v>
      </c>
      <c r="X132" s="61">
        <f t="shared" si="130"/>
        <v>12</v>
      </c>
      <c r="Y132" s="40">
        <f t="shared" si="140"/>
        <v>0</v>
      </c>
      <c r="Z132" s="40">
        <f t="shared" si="141"/>
        <v>0</v>
      </c>
      <c r="AA132" s="44">
        <f t="shared" si="142"/>
        <v>12463.748603557329</v>
      </c>
      <c r="AB132" s="35">
        <f t="shared" si="143"/>
        <v>12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1116.302473815635</v>
      </c>
      <c r="AD132" s="57">
        <v>0</v>
      </c>
      <c r="AE132" s="57">
        <v>1</v>
      </c>
      <c r="AF132" s="61">
        <f t="shared" si="131"/>
        <v>11</v>
      </c>
      <c r="AG132" s="40">
        <f t="shared" si="144"/>
        <v>0</v>
      </c>
      <c r="AH132" s="40">
        <f t="shared" si="145"/>
        <v>-1116.302473815635</v>
      </c>
      <c r="AI132" s="44">
        <f t="shared" si="146"/>
        <v>12279.327211971986</v>
      </c>
      <c r="AJ132" s="35">
        <f t="shared" si="132"/>
        <v>11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1197.4995723434481</v>
      </c>
      <c r="AL132" s="57">
        <v>0</v>
      </c>
      <c r="AM132" s="57">
        <v>0</v>
      </c>
      <c r="AN132" s="61">
        <f t="shared" si="133"/>
        <v>11</v>
      </c>
      <c r="AO132" s="40">
        <f t="shared" si="147"/>
        <v>0</v>
      </c>
      <c r="AP132" s="40">
        <f t="shared" si="148"/>
        <v>0</v>
      </c>
      <c r="AQ132" s="44">
        <f t="shared" si="149"/>
        <v>13172.49529577793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4</v>
      </c>
      <c r="G133" s="35">
        <f>SUMIFS(WORKING!$AC$3:$AC$6802,WORKING!$A$3:$A$6802,Results!$D$3,WORKING!$B$3:$B$6802,Results!A133,WORKING!$C$3:$C$6802,Results!C133)/1000</f>
        <v>4779.5785999999998</v>
      </c>
      <c r="H133" s="35">
        <f t="shared" si="134"/>
        <v>1194.89465</v>
      </c>
      <c r="I133" s="187">
        <v>3</v>
      </c>
      <c r="J133" s="212">
        <v>3374.44</v>
      </c>
      <c r="K133" s="217">
        <f t="shared" si="135"/>
        <v>1124.8133333333333</v>
      </c>
      <c r="L133" s="34">
        <f t="shared" si="128"/>
        <v>3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1179.1435529662726</v>
      </c>
      <c r="N133" s="57">
        <v>0</v>
      </c>
      <c r="O133" s="57">
        <v>0</v>
      </c>
      <c r="P133" s="61">
        <f t="shared" si="129"/>
        <v>3</v>
      </c>
      <c r="Q133" s="40">
        <f t="shared" si="136"/>
        <v>0</v>
      </c>
      <c r="R133" s="40">
        <f t="shared" si="137"/>
        <v>0</v>
      </c>
      <c r="S133" s="44">
        <f t="shared" si="138"/>
        <v>3537.4306588988179</v>
      </c>
      <c r="T133" s="35">
        <f t="shared" si="139"/>
        <v>3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1268.4064728012645</v>
      </c>
      <c r="V133" s="57">
        <v>0</v>
      </c>
      <c r="W133" s="57">
        <v>0</v>
      </c>
      <c r="X133" s="61">
        <f t="shared" si="130"/>
        <v>3</v>
      </c>
      <c r="Y133" s="40">
        <f t="shared" si="140"/>
        <v>0</v>
      </c>
      <c r="Z133" s="40">
        <f t="shared" si="141"/>
        <v>0</v>
      </c>
      <c r="AA133" s="44">
        <f t="shared" si="142"/>
        <v>3805.2194184037935</v>
      </c>
      <c r="AB133" s="35">
        <f t="shared" si="143"/>
        <v>3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1363.1395333362843</v>
      </c>
      <c r="AD133" s="57">
        <v>0</v>
      </c>
      <c r="AE133" s="57">
        <v>0</v>
      </c>
      <c r="AF133" s="61">
        <f t="shared" si="131"/>
        <v>3</v>
      </c>
      <c r="AG133" s="40">
        <f t="shared" si="144"/>
        <v>0</v>
      </c>
      <c r="AH133" s="40">
        <f t="shared" si="145"/>
        <v>0</v>
      </c>
      <c r="AI133" s="44">
        <f t="shared" si="146"/>
        <v>4089.418600008853</v>
      </c>
      <c r="AJ133" s="35">
        <f t="shared" si="132"/>
        <v>3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1462.1812283818867</v>
      </c>
      <c r="AL133" s="57">
        <v>0</v>
      </c>
      <c r="AM133" s="57">
        <v>0</v>
      </c>
      <c r="AN133" s="61">
        <f t="shared" si="133"/>
        <v>3</v>
      </c>
      <c r="AO133" s="40">
        <f t="shared" si="147"/>
        <v>0</v>
      </c>
      <c r="AP133" s="40">
        <f t="shared" si="148"/>
        <v>0</v>
      </c>
      <c r="AQ133" s="44">
        <f t="shared" si="149"/>
        <v>4386.5436851456598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1428.2556600000003</v>
      </c>
      <c r="H134" s="35">
        <f t="shared" si="134"/>
        <v>1428.2556600000003</v>
      </c>
      <c r="I134" s="187">
        <v>1</v>
      </c>
      <c r="J134" s="212">
        <v>1428.19</v>
      </c>
      <c r="K134" s="217">
        <f t="shared" si="135"/>
        <v>1428.19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1497.1329066013434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1497.1329066013434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1610.4241260308193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1610.4241260308193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1730.654097820204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1730.654097820204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1856.3476350658286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1856.3476350658286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943</v>
      </c>
      <c r="G140" s="41">
        <f>SUM(G120:G139)</f>
        <v>302046.56422999996</v>
      </c>
      <c r="H140" s="41">
        <f>IFERROR(G140/F140,0)</f>
        <v>320.30388571580062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1816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502990.15</v>
      </c>
      <c r="K140" s="41">
        <f>IFERROR(J140/I140,"")</f>
        <v>276.97695484581499</v>
      </c>
      <c r="L140" s="41">
        <f>SUM(L120:L139)</f>
        <v>1816</v>
      </c>
      <c r="M140" s="41">
        <f>IFERROR(S140/P140,0)</f>
        <v>299.22176600957238</v>
      </c>
      <c r="N140" s="41">
        <f t="shared" ref="N140:T140" si="151">SUM(N120:N139)</f>
        <v>0</v>
      </c>
      <c r="O140" s="41">
        <f t="shared" si="151"/>
        <v>63</v>
      </c>
      <c r="P140" s="41">
        <f t="shared" si="151"/>
        <v>1753</v>
      </c>
      <c r="Q140" s="41">
        <f t="shared" si="151"/>
        <v>0</v>
      </c>
      <c r="R140" s="41">
        <f t="shared" si="151"/>
        <v>-22133.918760034718</v>
      </c>
      <c r="S140" s="45">
        <f t="shared" si="151"/>
        <v>524535.75581478036</v>
      </c>
      <c r="T140" s="41">
        <f t="shared" si="151"/>
        <v>1753</v>
      </c>
      <c r="U140" s="41">
        <f>IFERROR(AA140/X140,0)</f>
        <v>324.08915459236056</v>
      </c>
      <c r="V140" s="41">
        <f t="shared" ref="V140:AB140" si="152">SUM(V120:V139)</f>
        <v>0</v>
      </c>
      <c r="W140" s="41">
        <f t="shared" si="152"/>
        <v>31</v>
      </c>
      <c r="X140" s="41">
        <f t="shared" si="152"/>
        <v>1722</v>
      </c>
      <c r="Y140" s="41">
        <f t="shared" si="152"/>
        <v>0</v>
      </c>
      <c r="Z140" s="41">
        <f t="shared" si="152"/>
        <v>-10824.155965907643</v>
      </c>
      <c r="AA140" s="45">
        <f t="shared" si="152"/>
        <v>558081.52420804487</v>
      </c>
      <c r="AB140" s="41">
        <f t="shared" si="152"/>
        <v>1722</v>
      </c>
      <c r="AC140" s="41">
        <f>IFERROR(AI140/AF140,0)</f>
        <v>349.08436028689931</v>
      </c>
      <c r="AD140" s="41">
        <f t="shared" ref="AD140:AJ140" si="153">SUM(AD120:AD139)</f>
        <v>0</v>
      </c>
      <c r="AE140" s="41">
        <f t="shared" si="153"/>
        <v>68</v>
      </c>
      <c r="AF140" s="41">
        <f t="shared" si="153"/>
        <v>1654</v>
      </c>
      <c r="AG140" s="41">
        <f t="shared" si="153"/>
        <v>0</v>
      </c>
      <c r="AH140" s="41">
        <f t="shared" si="153"/>
        <v>-27334.890599644619</v>
      </c>
      <c r="AI140" s="45">
        <f t="shared" si="153"/>
        <v>577385.53191453149</v>
      </c>
      <c r="AJ140" s="41">
        <f t="shared" si="153"/>
        <v>1654</v>
      </c>
      <c r="AK140" s="41">
        <f>IFERROR(AQ140/AN140,0)</f>
        <v>377.6996043152601</v>
      </c>
      <c r="AL140" s="41">
        <f t="shared" ref="AL140:AQ140" si="154">SUM(AL120:AL139)</f>
        <v>0</v>
      </c>
      <c r="AM140" s="41">
        <f t="shared" si="154"/>
        <v>2</v>
      </c>
      <c r="AN140" s="41">
        <f t="shared" si="154"/>
        <v>1652</v>
      </c>
      <c r="AO140" s="41">
        <f t="shared" si="154"/>
        <v>0</v>
      </c>
      <c r="AP140" s="41">
        <f t="shared" si="154"/>
        <v>-507.16348619601672</v>
      </c>
      <c r="AQ140" s="45">
        <f t="shared" si="154"/>
        <v>623959.74632880965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669376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689545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707256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761007.45600000001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144840.24418521964</v>
      </c>
      <c r="T142" s="39"/>
      <c r="U142" s="39"/>
      <c r="V142" s="53"/>
      <c r="W142" s="53"/>
      <c r="X142" s="110"/>
      <c r="Y142" s="39"/>
      <c r="Z142" s="39"/>
      <c r="AA142" s="54">
        <f>AA141-AA140</f>
        <v>131463.47579195513</v>
      </c>
      <c r="AB142" s="39"/>
      <c r="AC142" s="53"/>
      <c r="AD142" s="53"/>
      <c r="AE142" s="110"/>
      <c r="AF142" s="39"/>
      <c r="AG142" s="39"/>
      <c r="AH142" s="39"/>
      <c r="AI142" s="54">
        <f>AI141-AI140</f>
        <v>129870.46808546851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137047.70967119036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fl45fd75XN/I4/mazO/iUMHxfi8DRPArBOTyzqc/hR+/KtqsdImVdrEawRnA6Rp54rS5+xggK60EbKVm6d/1Zg==" saltValue="SSHDy3MfXzuom6u6zDE/Fg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Home Affairs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5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42671.487125925923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NAT_HRBP__42671.4871259259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HRBP-Vote05.xlsx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terms/"/>
    <ds:schemaRef ds:uri="http://schemas.openxmlformats.org/package/2006/metadata/core-properties"/>
    <ds:schemaRef ds:uri="http://schemas.microsoft.com/sharepoint/v3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df7ca258-5e24-45de-bd31-dbc76bc6765a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2016-10-28T09:42:45Z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